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9" i="1" l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</calcChain>
</file>

<file path=xl/sharedStrings.xml><?xml version="1.0" encoding="utf-8"?>
<sst xmlns="http://schemas.openxmlformats.org/spreadsheetml/2006/main" count="5948" uniqueCount="3061">
  <si>
    <t>نام فروشگاه</t>
  </si>
  <si>
    <t>شهرستان</t>
  </si>
  <si>
    <t>تلفن</t>
  </si>
  <si>
    <t>اصفهان</t>
  </si>
  <si>
    <t>تهران</t>
  </si>
  <si>
    <t>کرج</t>
  </si>
  <si>
    <t>آدرس</t>
  </si>
  <si>
    <t>نام تولید کننده</t>
  </si>
  <si>
    <t>اجاقي داوود - اردبيل</t>
  </si>
  <si>
    <t/>
  </si>
  <si>
    <t>اردبيل</t>
  </si>
  <si>
    <t>اردبيل راسته بازار جنب بانك ملي پلاك 98 آقاي اجاقي نمايندگي كاچيران تلفن 3337284 
آقاي اجاقي  -</t>
  </si>
  <si>
    <t>04533337284</t>
  </si>
  <si>
    <t>سليماني - اردبيل</t>
  </si>
  <si>
    <t>اردبيل - بازار کلاهدوزان  - نمايندگي تحت پوشش کاچيران  جناب اقاي فرشيد سليماني نمايندگي کاچيران</t>
  </si>
  <si>
    <t>04513337901</t>
  </si>
  <si>
    <t>اسلامي - مشکين شهر</t>
  </si>
  <si>
    <t>مشکين شهر</t>
  </si>
  <si>
    <t>اردبيل - مشکين شهر - خيابان امام خميني - روبروي هلال احمر  - اقاي اسحاق اسلامي  نمايندگي  تحت  پوشش کاچيران</t>
  </si>
  <si>
    <t>04532534551</t>
  </si>
  <si>
    <t>كوهي عبداله - پارس آبادمغان</t>
  </si>
  <si>
    <t>پارس آباد</t>
  </si>
  <si>
    <t xml:space="preserve">خيابان شهيد رجايي نرسيده به بانک ملی شعبه شهيد رجايي </t>
  </si>
  <si>
    <t>04532722859</t>
  </si>
  <si>
    <t>رزم آرا مريم - خلخال</t>
  </si>
  <si>
    <t>خلخال</t>
  </si>
  <si>
    <t>خلخال
خيابان الشريفي پلاك 124  نمايندگي كاچيران 
خانم رزم آرا   -</t>
  </si>
  <si>
    <t>04532428855</t>
  </si>
  <si>
    <t>راستي پور محمود - 1اصفهان</t>
  </si>
  <si>
    <t>اصفهان
 خيابان طالقاني -ارگ جهان نما - فروشگاه راستي 
نمايندگي 1 كاچيران  آقاي راستي پور</t>
  </si>
  <si>
    <t>03132121164</t>
  </si>
  <si>
    <t>هاتف الحسيني سيد عباس - 2 اصفهان</t>
  </si>
  <si>
    <t>اصفهان
 خيابان حكيم نظامي نبش خ مهرداد فروشگاه هاتف 
نمايندگي2كاچيران آقاي هاتف الحسيني  -</t>
  </si>
  <si>
    <t>03136242353</t>
  </si>
  <si>
    <t>محقق نيا  محمدعلي -4اصفهان</t>
  </si>
  <si>
    <t>اصفهان 
خيابان حافظ مقابل هتل صدف نمايندگي4كاچيران 
 آقاي محقق نيا</t>
  </si>
  <si>
    <t>03132236670</t>
  </si>
  <si>
    <t>اصولي مهدي-5اصفهان</t>
  </si>
  <si>
    <t>اصفهان خيابان چهارباغ پاساژ كازروني نبش كوچه نيك پي  نمايندگي 5 اصفهان</t>
  </si>
  <si>
    <t>03132205018</t>
  </si>
  <si>
    <t>اصولي 6 اصفهان</t>
  </si>
  <si>
    <t>اصفهان
 دروازه دولت كوچه نيك پي مقابل پاركينگ طالقاني  
 نمايندگي 6 كاچيران آقاي اصولي  -</t>
  </si>
  <si>
    <t>03132231103</t>
  </si>
  <si>
    <t>اصفهان7-داوري</t>
  </si>
  <si>
    <t>اصفهان-خيابان مشير-يخچال-سه راه كرماني-پاساژ ترمه-پلاك 1 فروشگاه چرخ مهدي-آقاي داوري</t>
  </si>
  <si>
    <t>03132238613</t>
  </si>
  <si>
    <t>تاجي زادگان- اصفهان</t>
  </si>
  <si>
    <t>اصفهان-خيابان طالقاني- کوچه نيک پي- شماره 22- فروشگاه دانش- آقاي محسن تاجي زادگان-</t>
  </si>
  <si>
    <t>03132211380</t>
  </si>
  <si>
    <t>عليرضا راستي پور- اصفهان</t>
  </si>
  <si>
    <t>اصفهان- دروازه دولت- کوچه نيک پي- پلاک 144- آقاي عليرضا راستي پور-</t>
  </si>
  <si>
    <t>03132201571</t>
  </si>
  <si>
    <t>امير کريمي- اصفهان</t>
  </si>
  <si>
    <t>اصفهان - خيابان امام خميني- ورودي خانه اصفهان- بعد از تقاطع سوم- پلاک 251- سمت چپ -آقاي امير کريمي</t>
  </si>
  <si>
    <t>03133329276</t>
  </si>
  <si>
    <t>توسلي بهرام - خميني شهر</t>
  </si>
  <si>
    <t>خميني شهر</t>
  </si>
  <si>
    <t>خميني شهر 
ميدان امام نمايندگي كاچيران آقاي توسلي   -</t>
  </si>
  <si>
    <t>03133628363</t>
  </si>
  <si>
    <t>خالويي - خميني شهر</t>
  </si>
  <si>
    <t>استان اصفهان- شهرستان خميني شهر- خيابان شريعتي- نرسيده به چهارراه شريعتي - فروشگاه خالوئي</t>
  </si>
  <si>
    <t>03133637666</t>
  </si>
  <si>
    <t>سميرم - خانم صادقي</t>
  </si>
  <si>
    <t>سميرم</t>
  </si>
  <si>
    <t>اصفهان - شهرستان سميرم
فلكه ساعت ساختمان انجمن خيريه امام علي (ع)
مركز خدمات كاچيران خانم صادقي   -</t>
  </si>
  <si>
    <t>03153666974</t>
  </si>
  <si>
    <t>شاهين شهر ابدالي</t>
  </si>
  <si>
    <t>شاهين شهر</t>
  </si>
  <si>
    <t>شاهين شهر آقاي حاجي ابادي خيابان فردوسي ،پاساژ شهريار اقاي ابدالي حاجي ابادي  -</t>
  </si>
  <si>
    <t>03145243303</t>
  </si>
  <si>
    <t>دباغ سهراب - شهرضا</t>
  </si>
  <si>
    <t>شهرضا</t>
  </si>
  <si>
    <t>شهرضا خيابان ابوذرسه راه باغ ملي پلاك116نمايندگي كاچيران  
آقاي دباغ  -</t>
  </si>
  <si>
    <t>03153221696</t>
  </si>
  <si>
    <t>فريدون کهروني(فلاورجان)</t>
  </si>
  <si>
    <t>فلاورجان</t>
  </si>
  <si>
    <t>اصفهان-فلاورجان-پيربکران-خ شهيد بهشتي مقابل اداره پست پاساژ وحدت فروشگاه نسيم.</t>
  </si>
  <si>
    <t>3137224806</t>
  </si>
  <si>
    <t>حسين پور سيدعلي - كاشان</t>
  </si>
  <si>
    <t>کاشان</t>
  </si>
  <si>
    <t>كاشان خيابان محتشم جنب اداره ثبت احوال  نمايندگي كاچيران 
آقاي حسين پور -</t>
  </si>
  <si>
    <t>03155222942</t>
  </si>
  <si>
    <t>گلپايگان خانم ابراهيمي</t>
  </si>
  <si>
    <t>گلپايگان</t>
  </si>
  <si>
    <t>گلپايگان بازار نمايندگي كاچيران خانم ابراهيمي   -</t>
  </si>
  <si>
    <t>03157422490</t>
  </si>
  <si>
    <t>ودعي نائيني داود - نائين</t>
  </si>
  <si>
    <t>نايين</t>
  </si>
  <si>
    <t>نائين 
خيابان رجايي مقابل هلال احمر نمايندگي كاچيران
  آقاي نائيني    -</t>
  </si>
  <si>
    <t>3146254568</t>
  </si>
  <si>
    <t>سرائيان منوچهر - نجف اباد</t>
  </si>
  <si>
    <t>نجف آباد</t>
  </si>
  <si>
    <t xml:space="preserve">نجف‌ آباد - چهار راه بازار - خيابان منتظري شمالي نرسيده به اداره ثبت اسناد مقابل کوي شهيد آيتي پلاک 164/1 فروشگاه سرائيان - آقاي سرائيان نمايندگي کاچيران 
</t>
  </si>
  <si>
    <t>03142629213</t>
  </si>
  <si>
    <t>يماني مرتضي - نجف آباد</t>
  </si>
  <si>
    <t>نجف آباد
بازارجنب پاساژ سيروس فروشگاه يماني نمايندگي كاچيران آقاي يماني  -</t>
  </si>
  <si>
    <t>03142625626</t>
  </si>
  <si>
    <t>نطنز آقاي روح اللهي</t>
  </si>
  <si>
    <t>نطنز</t>
  </si>
  <si>
    <t xml:space="preserve">خيابان امام خميني خيابان آيت الله سعيدي-پشت پارک ملت-پلاک 111 
</t>
  </si>
  <si>
    <t>03154227088</t>
  </si>
  <si>
    <t>ورزنه اصفهان آقاي گندمي</t>
  </si>
  <si>
    <t>ورزنه</t>
  </si>
  <si>
    <t>اصفهان - ورزنه
 ميدان امام خميني خيابان دكتر بهشتي 
مركز خدمات كاچيران آقاي گندمي  -</t>
  </si>
  <si>
    <t>03146484239</t>
  </si>
  <si>
    <t>زمان وزيري احمد - 1 كرج</t>
  </si>
  <si>
    <t>كرج  
خيابان بهشتي  مقابل بانک مسکن مرکزي پاساژ جاويد طبقه همکف پلاک 21فروشگاه دوخت وبافت</t>
  </si>
  <si>
    <t>02632240005</t>
  </si>
  <si>
    <t>نيكزاد عبدالرضا - 2 کرج</t>
  </si>
  <si>
    <t xml:space="preserve">كرج خيابان بهشتي جنب بانك كشاورزي نمايندگي 2 كاچيران  
</t>
  </si>
  <si>
    <t>02632231226</t>
  </si>
  <si>
    <t>سعادت پور-مركز خدمات فرديس</t>
  </si>
  <si>
    <t>فرديس</t>
  </si>
  <si>
    <t>فرديس -نبش فلکه چهارم -بازارچه رضوان آقاي سعادت پور - مرکز خدمات کاچيران</t>
  </si>
  <si>
    <t>02636512817</t>
  </si>
  <si>
    <t>فرديس- حيدري</t>
  </si>
  <si>
    <t>کرج- فرديس-شهرک طالقاني-گلستان56-نبش کوچه علوي-فروشگاه بنيامين-خدمات پس كاچيران-آقاي حيدري-</t>
  </si>
  <si>
    <t>02636619564</t>
  </si>
  <si>
    <t>اعظمي علي اصغر - رجائي شهر</t>
  </si>
  <si>
    <t>رجايي شهر(گوهردشت)روبروي پارك جهان كودك پاساژ عزيزي  
نمايندگي كاچيران آقاي اعظمي   -</t>
  </si>
  <si>
    <t>02634411827</t>
  </si>
  <si>
    <t>حسين رضازاده(نظرآباد)</t>
  </si>
  <si>
    <t>نظر آباد</t>
  </si>
  <si>
    <t>استان البرز-شهرستان نظرآباد-ابتداي خيابان طالقاني-پلاک 5316</t>
  </si>
  <si>
    <t>02645345997</t>
  </si>
  <si>
    <t>هشتگرد باران چشمه</t>
  </si>
  <si>
    <t>هشتگرد</t>
  </si>
  <si>
    <t xml:space="preserve">"هشتگرد-خيابان مصلي-پاساژ قائم فروشگاه خياطي جوادالائمهمركز خدمات كاچيران آقاي باران چشمه   -" 
</t>
  </si>
  <si>
    <t>02644225332</t>
  </si>
  <si>
    <t>تقي منصوري - ايلام</t>
  </si>
  <si>
    <t>ايلام</t>
  </si>
  <si>
    <t>خ سمندري - کوچه شهيد لطفي</t>
  </si>
  <si>
    <t>08433346835</t>
  </si>
  <si>
    <t>سليماني(ايلام)</t>
  </si>
  <si>
    <t>استان ايلام شهرستان ايلام خ فردوسي -خ واسطي رو به روي هتل دالاهو 
ر</t>
  </si>
  <si>
    <t>08433365295</t>
  </si>
  <si>
    <t>آبدانان سليمانخاني</t>
  </si>
  <si>
    <t>آبدانان</t>
  </si>
  <si>
    <t>آبدانان خيابان شهيدمصطفي خميني-فروشگاه سليمانخاني- خدمات پس ازفروش كاچيران-آقاي سليمانخاني-
خيابان شهيد مصطفي خميني فروشگاه عبدالرحمان سليمانخاني
مركز خدمات كاچيران آقاي سليمانخاني  -</t>
  </si>
  <si>
    <t>08433622048</t>
  </si>
  <si>
    <t>ديرکوند- دره شهر</t>
  </si>
  <si>
    <t>دره شهر</t>
  </si>
  <si>
    <t>ايلام - دره شهر- خيابان بهشتي -پاساژ بساطي  - آقاي ديرکوند- مرکز خدمات کاچيران -</t>
  </si>
  <si>
    <t>08435228385</t>
  </si>
  <si>
    <t>باوير دهلران</t>
  </si>
  <si>
    <t>دهلران</t>
  </si>
  <si>
    <t>استان ايلام شهرستان دهلران
خيابان امام پاساژكاوري زاده فروشگاه بابك مركزخدمات كاچيران
 آقاي باوير   -</t>
  </si>
  <si>
    <t>08433726449</t>
  </si>
  <si>
    <t>اسدي اصل -مرکز پخش</t>
  </si>
  <si>
    <t>تبريز</t>
  </si>
  <si>
    <t xml:space="preserve">تبريز خيابان امام خميني بالاتر از چهار راه منصور ساختمان كاچيران  
</t>
  </si>
  <si>
    <t>04133368561</t>
  </si>
  <si>
    <t>امير اسدي اصل - تبريز1</t>
  </si>
  <si>
    <t>تبريز - خيابان جمهوري اسلامي - جنب پاساژ امام خميني - پلاک 228 جناب آقاي امير اسدي اصل</t>
  </si>
  <si>
    <t>04135559980</t>
  </si>
  <si>
    <t>گوگاني - تبريز 2</t>
  </si>
  <si>
    <t>تبريز - خيابان جمهوري اسلامي  - نبش پاساژ ايران - فروشگاه سيد گوگاني</t>
  </si>
  <si>
    <t>04135232535</t>
  </si>
  <si>
    <t>رسول فام - بناب1</t>
  </si>
  <si>
    <t>بناب</t>
  </si>
  <si>
    <t>آذربايجان شرقي - بناب - خيابان بهشتي - پاساژ ميلاد - طبقه زير زمين  آقاي  رسول فام نمايندگي تحت پوشش بناب</t>
  </si>
  <si>
    <t>04137726731</t>
  </si>
  <si>
    <t>شريفي - بناب 2</t>
  </si>
  <si>
    <t>آذربايجان شرقي - بناب - خيابان باهنر - روبروي بازار مهديه - پاساژ غفار زاده  آقاي مصطفي شريفي  نمايندگي تحت پوشش بناب</t>
  </si>
  <si>
    <t>04137731525</t>
  </si>
  <si>
    <t>زارع پور- ملا اقدم  - بناب 3</t>
  </si>
  <si>
    <t>آذربايجان شرقي - بناب -  خيابان  امام  پاساژ صدف -  طبقه زير زمين - فروشگاه تک گل نمايندگي تحت پوشش کاچيران  زارع پور - ملااقدم</t>
  </si>
  <si>
    <t>04137742194</t>
  </si>
  <si>
    <t>خوش منظر -  اهر</t>
  </si>
  <si>
    <t>اهر</t>
  </si>
  <si>
    <t>آذربايجان شرقي - اهر - خيابان امام - پاساژ سرپوشيده  فروشگاه خوش منظر- اقاي احمد خوش منظر نمايندگي تحت پوشش کاچيران</t>
  </si>
  <si>
    <t>04142428095</t>
  </si>
  <si>
    <t>علي نجاتي - ايلخچي</t>
  </si>
  <si>
    <t>ايلخچي</t>
  </si>
  <si>
    <t>ايلخچي خيابان 17 شهريور پايين تر از بانک صادرات</t>
  </si>
  <si>
    <t>04133415616</t>
  </si>
  <si>
    <t>محبيان - آذر شهر</t>
  </si>
  <si>
    <t>آذر شهر</t>
  </si>
  <si>
    <t>خيابان امام مجتمع تجاري ميلاد نور فاز 2 طبقه همكف پلاك 6</t>
  </si>
  <si>
    <t>بابايي - بستان اباد</t>
  </si>
  <si>
    <t>بستان آباد</t>
  </si>
  <si>
    <t>آذربايجان شرقي - بستان آباد - خيابان امام خميني - جنب بانک تجارت - نمايندگي  تحت پوشش کاچيران  آقاي حميد بابايي</t>
  </si>
  <si>
    <t>04143333553</t>
  </si>
  <si>
    <t>رنجپور - سراب</t>
  </si>
  <si>
    <t>سراب</t>
  </si>
  <si>
    <t>سراب - چهارراه فردوسي  - اقاي جعفر رنجپور نمايندگي تحت پوشش  کاچيران</t>
  </si>
  <si>
    <t>04143221112</t>
  </si>
  <si>
    <t>خيرابي - شبستر</t>
  </si>
  <si>
    <t>شبستر</t>
  </si>
  <si>
    <t>آذربايجان شرقي - شبستر - خيابان گلشن راز فروشگاه گلشن راز - آقاي مسعود خيرابي  نمايندگي تحت پو شش کاچيران</t>
  </si>
  <si>
    <t>04142421112</t>
  </si>
  <si>
    <t>شريفي - عجب شير</t>
  </si>
  <si>
    <t>عجب شير</t>
  </si>
  <si>
    <t>آذربايجان شرقي - عجب شير -  خيابان امام خميني - جنب موسسه قرض الحسنه مهر - فروشگاه شريفي  اقاي شريفي نمايندگي تحت پوشش کاچيران</t>
  </si>
  <si>
    <t>04137623828</t>
  </si>
  <si>
    <t>اصل يزداني - مراغه 2</t>
  </si>
  <si>
    <t>مراغه</t>
  </si>
  <si>
    <t>مراغه  - خيابان دکتر بهشتي  بازار نجاران - روبروي مسجد انصاري  پلاک 14  اقاي منصور اصل يزداني - نمايندگي تحت پوشش کاچيران</t>
  </si>
  <si>
    <t>04137237417</t>
  </si>
  <si>
    <t>سياحي فام - مراغه3</t>
  </si>
  <si>
    <t>آذربايجان شرقي - مراغه - خيابان دکتر بهشتي - روبروي بانک ملت مرکزي - فروشگاه حبيب- حسين  سياحي فام    - نمايندگي تحت پوشش کاچيران</t>
  </si>
  <si>
    <t>04137229495</t>
  </si>
  <si>
    <t>کلاشي -  مرند1</t>
  </si>
  <si>
    <t>مرند</t>
  </si>
  <si>
    <t>آذربايجان شرقي - مرند - خيابان رجايي رو بروي مسجد جامع - پاساژ کلاشي  - اقاي صابر کلاشي نمايندگي تحت پوشش کاچيران</t>
  </si>
  <si>
    <t>04142253198</t>
  </si>
  <si>
    <t>کلاشي - مرند2</t>
  </si>
  <si>
    <t>آذربايجان شرقي - مرند - خيابان رجايي - روبروي شهرداري - پايين تر از بانک ملي - سعيد کلاشي - نماينده تحت پوشش  کاچيران</t>
  </si>
  <si>
    <t>04142270669</t>
  </si>
  <si>
    <t>فرخيان - ملکان</t>
  </si>
  <si>
    <t>ملکان</t>
  </si>
  <si>
    <t>آذربايجان شرقي - ملکان - ابتداي خيابان معلم - جنب پاساژ اسلامي فرد - آقاي محمد فرخيان  نمايندگي  تحت پوشش  کاچيران</t>
  </si>
  <si>
    <t>04137821582</t>
  </si>
  <si>
    <t>عسگري- ميانه1</t>
  </si>
  <si>
    <t>ميانه</t>
  </si>
  <si>
    <t>آذربايجان شرقي- ميانه- خيابان امام خميني- بازار مشير- پلاک 17- آقاي محمد حسن عسگري-</t>
  </si>
  <si>
    <t>04232224312</t>
  </si>
  <si>
    <t>عسگري -  ميانه 2</t>
  </si>
  <si>
    <t>اذربايجان  شرقي - ميانه - خيابان امام خميني - بازار مشير پلاک 17 آقاي محمد حسن عسگري</t>
  </si>
  <si>
    <t>04152224312</t>
  </si>
  <si>
    <t>سيمايي -هاديشهر</t>
  </si>
  <si>
    <t>هاديشهر</t>
  </si>
  <si>
    <t>آذربايجان شرقي - هاديشهر - خيابان  امام خميني  - روبروي  بانک ملي - فروشگاه سيمائي - اقاي حسن سيمايي نمايندگي تحت پوشش  کاچيران</t>
  </si>
  <si>
    <t>04142042925</t>
  </si>
  <si>
    <t>رحيم زاده  - هشترود</t>
  </si>
  <si>
    <t>هشترود</t>
  </si>
  <si>
    <t>آذربايجان -هشترود- خيابان امام  - ميدان سپاه - فروشگاه رحيم زاده - اقاي ميکائيل رحيم زاده نمايندگي  تحت پوشش  کاچيران</t>
  </si>
  <si>
    <t>04152622466</t>
  </si>
  <si>
    <t>اکبر پور - هشترود</t>
  </si>
  <si>
    <t>اذربايجان شرقي - هشترود - خيابان شهيد قاضي طباطبايي - بازار امام صادق (ع) فروشگاه اکبر پور  نمايندگي تحت  پوشش  کاچيران</t>
  </si>
  <si>
    <t>04152625547</t>
  </si>
  <si>
    <t>علي تقي زاده(اروميه)</t>
  </si>
  <si>
    <t>اروميه</t>
  </si>
  <si>
    <t>خيابان بعثت جنب پاساژ بعثت</t>
  </si>
  <si>
    <t>04432222143</t>
  </si>
  <si>
    <t>خيراله غلامي خيکساز(اروميه)</t>
  </si>
  <si>
    <t>ميدان شهدا دروازه سلماس اول خيابان امير کبير پلاک 13</t>
  </si>
  <si>
    <t>32778915</t>
  </si>
  <si>
    <t>علي سليمي(بوکان)</t>
  </si>
  <si>
    <t>بوکان</t>
  </si>
  <si>
    <t>خيابان کهنه کوي حاج سيد صديق قريشي پلاک 25</t>
  </si>
  <si>
    <t>04446222316</t>
  </si>
  <si>
    <t>چيانه پيرانشهر</t>
  </si>
  <si>
    <t>پيرانشهر</t>
  </si>
  <si>
    <t>خ 15 خرداد شمالي فروشگاه چيانه</t>
  </si>
  <si>
    <t>04444222156</t>
  </si>
  <si>
    <t>حسين مهري(تکاب)</t>
  </si>
  <si>
    <t>تکاب</t>
  </si>
  <si>
    <t xml:space="preserve">خيابان انقلاب روبروي مخابرات 
</t>
  </si>
  <si>
    <t>04445535770</t>
  </si>
  <si>
    <t>علي ضيايي(خوي)</t>
  </si>
  <si>
    <t>خوي</t>
  </si>
  <si>
    <t>بازارجواديه بازار سبزي فروشان فروشگاه چرخ خياطي ضيايي</t>
  </si>
  <si>
    <t>36225254</t>
  </si>
  <si>
    <t>صالح فتاحي(مباندوآب)</t>
  </si>
  <si>
    <t>مياندوآب</t>
  </si>
  <si>
    <t>خيابان امام مقابل بانک ملي پاساز نور طبقه زير زمين</t>
  </si>
  <si>
    <t>04445241522</t>
  </si>
  <si>
    <t>سيدانور نوري(نقده)</t>
  </si>
  <si>
    <t>نقده</t>
  </si>
  <si>
    <t xml:space="preserve">آذربايجان غربي - شهرستان نقده- خ شهيد رجايي -پاساژکيوان 
</t>
  </si>
  <si>
    <t>04435622903</t>
  </si>
  <si>
    <t>اسفديار سروري(سلماس)</t>
  </si>
  <si>
    <t>سلماس</t>
  </si>
  <si>
    <t>خيابان امام رو به روي فرهنگيان  
جديد: خ امام مابين مدني -پناهي جنب بانک مهر</t>
  </si>
  <si>
    <t>04435224211</t>
  </si>
  <si>
    <t>مصطفي عرب(اشنويه)</t>
  </si>
  <si>
    <t>اشنويه</t>
  </si>
  <si>
    <t>خيابان امام پاساژ زرزرا</t>
  </si>
  <si>
    <t>04444626344</t>
  </si>
  <si>
    <t>يگانه(سردشت)</t>
  </si>
  <si>
    <t>سردشت</t>
  </si>
  <si>
    <t>آذربايجان غربي-شهرستان سردشت-خيابان سرباز پاساژ خانقاه.</t>
  </si>
  <si>
    <t>04444327373</t>
  </si>
  <si>
    <t>پيمان غلامي(سلماس)</t>
  </si>
  <si>
    <t>خ امام پاساژ وليعصر فروشگاه کاچيران</t>
  </si>
  <si>
    <t>5242628 0443</t>
  </si>
  <si>
    <t>امير ابوالحسني(شوط)</t>
  </si>
  <si>
    <t>شوط</t>
  </si>
  <si>
    <t>شوط خيابان ولي عصر جنوبي</t>
  </si>
  <si>
    <t>04434224881</t>
  </si>
  <si>
    <t>خليل باقري(قره ضيا الدين)</t>
  </si>
  <si>
    <t>قره ضياء الدين</t>
  </si>
  <si>
    <t>بلوار بهشتي-مغازه لوازم خانگي نبوي</t>
  </si>
  <si>
    <t>04436722979</t>
  </si>
  <si>
    <t>حسين ابوالحسني(ماکو)</t>
  </si>
  <si>
    <t>ماکو</t>
  </si>
  <si>
    <t>آذربايجان غربي-شهرستان ماکو خيابان تجارت- بازار =جنب مسجد جامع</t>
  </si>
  <si>
    <t>04434223913</t>
  </si>
  <si>
    <t>مهاجري - مهاباد</t>
  </si>
  <si>
    <t>مهاباد</t>
  </si>
  <si>
    <t>مهاباد - خ جمهوري اسلامي - کوچه کفش ملي - راسته خياطان - فروشگاه مهاجري - آقاي مهاجري مرکز خدمات کاچيران</t>
  </si>
  <si>
    <t>04422231211</t>
  </si>
  <si>
    <t>خسرو نوري-مرکز خدمات نقده</t>
  </si>
  <si>
    <t>آذربايجان غربي - شهرستان نقده- خ شهيد رجايي -پ 20 پاساژکيوان</t>
  </si>
  <si>
    <t>04435631987</t>
  </si>
  <si>
    <t>برازجان آقاي مجريان</t>
  </si>
  <si>
    <t>بوشهر</t>
  </si>
  <si>
    <t>برازجان</t>
  </si>
  <si>
    <t>برازجان
خيابان الفتح روبروي هلال احمر جنب بانك كشاورزي آقاي مجريان 
نمايندگي كاچيران -</t>
  </si>
  <si>
    <t>07734226305</t>
  </si>
  <si>
    <t>بحراني  محمود-برازجان</t>
  </si>
  <si>
    <t>برازجان
جنب جايگاه نماز جمعه لوازم خانگي بحراني
نمايندگي كاچيران آقاي بحراني -</t>
  </si>
  <si>
    <t>07734220845</t>
  </si>
  <si>
    <t>محسن نيک نژاد-بندرگناوه</t>
  </si>
  <si>
    <t>بندرگناوه</t>
  </si>
  <si>
    <t>بندرگناوه-چهارراه ناخداحمزه-پاساژ احمديان فروشگاه نيک نژاد</t>
  </si>
  <si>
    <t>07733127905</t>
  </si>
  <si>
    <t>جلودار مهدي - بوشهر</t>
  </si>
  <si>
    <t>بوشهر 
خيابان نادر پلاك 340 نمايندگي كاجيران 
 آقاي جلودار  -</t>
  </si>
  <si>
    <t>07733343000</t>
  </si>
  <si>
    <t>حسن اكبري - نمايندگي شهرستان كاكي</t>
  </si>
  <si>
    <t xml:space="preserve">خيابان امام خميني فروشگاه لوازم خانگي اكبري 
</t>
  </si>
  <si>
    <t>07735314610</t>
  </si>
  <si>
    <t>عطايي- خورموج</t>
  </si>
  <si>
    <t>خورموج</t>
  </si>
  <si>
    <t>استان بوشهر- خورموج- خيابان مطهري- روبروي محضر شماره 19- آقاي عطايي-</t>
  </si>
  <si>
    <t>07735328945</t>
  </si>
  <si>
    <t>سبزواري تک (نمايشگاه مركزي كاچيران)</t>
  </si>
  <si>
    <t>خيابان جمهوري-چهارراه دانشگاه- پلاک 148نمايشگاه مرکزي کاچيران</t>
  </si>
  <si>
    <t>02166463855-7</t>
  </si>
  <si>
    <t>سيد اسماعيل پيشنماز سبزواري(تهران2)-توحيد</t>
  </si>
  <si>
    <t>خيابان توحيد -نرسيده به تقاطع آزادي و نواب -رو به روي بانک اقتصادنوين-پ 12</t>
  </si>
  <si>
    <t>02166933367</t>
  </si>
  <si>
    <t>محسني (5 تهران)-ميرداماد</t>
  </si>
  <si>
    <t>02122221694</t>
  </si>
  <si>
    <t>خ ميرداماد بين خ نفت و بزرگراه مدرس پ 356</t>
  </si>
  <si>
    <t>گنجه باف (6تهران)-شهدا</t>
  </si>
  <si>
    <t>02177536625</t>
  </si>
  <si>
    <t>ميدان شهدا خ مجاهدين اسلام ايستگاه بهنام پ 53</t>
  </si>
  <si>
    <t>حقيقي نژاد حسن (7 تهران)-پيروزي</t>
  </si>
  <si>
    <t>02177476596</t>
  </si>
  <si>
    <t>خ پيروزي بالاتر از چهارراه کوکا کولا جنب بيمه اجتماعي</t>
  </si>
  <si>
    <t>همايوني منوچهر - 10 تهران-رسالت</t>
  </si>
  <si>
    <t>تهران گيرنده:تهران -خيابان رسالت 16 متري اول جنوبي شماره 80 نمايندگي 10 كاچيران</t>
  </si>
  <si>
    <t>02188488892</t>
  </si>
  <si>
    <t>قديري مجيد - 11تهران-خيام</t>
  </si>
  <si>
    <t>تهران 
خيابان خيام جنب درمانگاه خيام پلاك536 نمايندگي 11 كاچيران 
 آقاي قديري   -</t>
  </si>
  <si>
    <t>02155611919</t>
  </si>
  <si>
    <t>مزينانيان نصراله - 12تهران-اكباتان</t>
  </si>
  <si>
    <t>تهران شهرك اكباتان بلوار اصلي شهيد نفيسي جنب مسجد الرضا مجتمع تجاري فاز 3 شماره 35 - نمايندگي 12 كاچيران</t>
  </si>
  <si>
    <t>02144658799</t>
  </si>
  <si>
    <t>تخيري 19 تهران-نارمك</t>
  </si>
  <si>
    <t>تهران نارمك گلبرگ شرقي جنب مسجد سيد الشهدا پلاك 41 و 43نمايندگي 19</t>
  </si>
  <si>
    <t>02177807935</t>
  </si>
  <si>
    <t>رام احمد - شهرري 20 تهران</t>
  </si>
  <si>
    <t>شهرري 
 خيابان 24متري زکرياي رازي جنب بانک سپه پلاک206 و 208  فروشگاه دوخت رنمايندگي 20 كاچيران آقاي رام   -</t>
  </si>
  <si>
    <t>02155902742</t>
  </si>
  <si>
    <t>رسولي هدايت - دولت آباد شهرري 21 تهران</t>
  </si>
  <si>
    <t>دولت آبادشهرري فلكه دوم پلاك8 فروشگاه دوخت رسولي نمايندگي 21 كاچيران</t>
  </si>
  <si>
    <t>02133746588</t>
  </si>
  <si>
    <t>ساعي - نمايندگي 24 تهران-خيام</t>
  </si>
  <si>
    <t>تهران 
خيابان خيام پلاك 729  
نمايندگي 24 كاچيران آقاي ساعي</t>
  </si>
  <si>
    <t>02155892381</t>
  </si>
  <si>
    <t>تخيري 25تهران-دردشت-رسالت</t>
  </si>
  <si>
    <t>تهران    بزرگراه رسالت ،چهارراه دردشت ،خيابان حيدرخاني -،شماره15</t>
  </si>
  <si>
    <t>02177451807</t>
  </si>
  <si>
    <t>نماينده شماره 26 - خانم شايگان-جنت آباد</t>
  </si>
  <si>
    <t>تهران-خ آيت الله کاشاني - ابتداي جنت آباد - پاساژ مريم- طبقه اول واحد66 نمايندگي 26 کاچيران خانم شايگان</t>
  </si>
  <si>
    <t>02144055882</t>
  </si>
  <si>
    <t>نمايندگي 28 تهران - برادران قاضي-امام حسين-مدني</t>
  </si>
  <si>
    <t>تهران ميدان امام حسين ابتداي خيابان مدني روبروي خيابان گيتي رخ (برادران نحمدي) پلاک 190 جناب آقاي قاضي</t>
  </si>
  <si>
    <t>77644321</t>
  </si>
  <si>
    <t>آقاي صابر- نماينده 29 تهران-عبدل آباد</t>
  </si>
  <si>
    <t>تهران- عبدل آباد- 35 متري شکوفه- پلاک 138 - فروشگاه آذربايجان</t>
  </si>
  <si>
    <t>02155838338</t>
  </si>
  <si>
    <t>ماهوتچي منصور - ورامين</t>
  </si>
  <si>
    <t>ورامين</t>
  </si>
  <si>
    <t>ورامين - خيابان شهدا بازار بزرگ  نمايندگي کاچيران اقاي ماهوتچي</t>
  </si>
  <si>
    <t>02136252828</t>
  </si>
  <si>
    <t>جوپايي امير -  شهريار</t>
  </si>
  <si>
    <t>شهريار</t>
  </si>
  <si>
    <t>شهريار 
خيابان وليعصر جنب بانك كشاورزي كوي گلها پلاك3 
نمايندگي كاچيران آقاي جوپايي   -</t>
  </si>
  <si>
    <t>02165228565</t>
  </si>
  <si>
    <t>تقوي بيات  نصراله - اسلام شهر</t>
  </si>
  <si>
    <t>اسلامشهر</t>
  </si>
  <si>
    <t>اسلامشهر خيابان آيت الله كاشاني - بين كوچه 12و14 پلاك202 آقاي تقوي بيات</t>
  </si>
  <si>
    <t>02156125692</t>
  </si>
  <si>
    <t>حکمت علي اصغر - دماوند</t>
  </si>
  <si>
    <t>دماوند</t>
  </si>
  <si>
    <t>دماوند 
ميدان امام خميني ابتداي خيابان پاسداران نمايندگي كاچيران آقاي حكمت  -</t>
  </si>
  <si>
    <t>76325556</t>
  </si>
  <si>
    <t>تهران آقاي سهيلي-خيام</t>
  </si>
  <si>
    <t>تهران - شهرستان تهران
بالاتر از پاچنار جنب پاساژ همايون فروشگاه ثامن پلاك 770 
مركز خدمات كاچيران آقاي سهيلي -</t>
  </si>
  <si>
    <t>02155161034</t>
  </si>
  <si>
    <t>نظري خدمات تهران-خيام</t>
  </si>
  <si>
    <t>تهران خيابان خيام روبروي بازارعباس آبادجنب درمانگاه خيام پلاك 508 
مركز خدمات كاچيران آقاي نظري</t>
  </si>
  <si>
    <t>02155631661</t>
  </si>
  <si>
    <t>صادقي-  مركز خدمات شهر ري</t>
  </si>
  <si>
    <t>شهر ري</t>
  </si>
  <si>
    <t>ميدان شهر ري انتهاي پاساژ شيشه  پلاک 16 مرکز خدمات کاچيران  اقاي صادقي</t>
  </si>
  <si>
    <t>02155902478</t>
  </si>
  <si>
    <t>همامي/رضايي - خدمات 3تهران-جمهوري</t>
  </si>
  <si>
    <t>تهران - خيابان جمهوري اسلامي 4 راه دانشگاه اول خيابان دانشگاه شمالي پلاک 56  مرکز خدمات کاچيران  آقاي همامي - رضايي</t>
  </si>
  <si>
    <t>02166469790</t>
  </si>
  <si>
    <t>رام - خدمات شهرري</t>
  </si>
  <si>
    <t>تهران - شهرري - خيابان شهيد قدمي - خيابان شهيد مختارخان - پلاک 13 مرکز خدمات کاچيران آقاي قاسم رام</t>
  </si>
  <si>
    <t>02155900860</t>
  </si>
  <si>
    <t>ملک محمدي رباطكريم</t>
  </si>
  <si>
    <t>رباط کريم</t>
  </si>
  <si>
    <t xml:space="preserve">تهران - شهرستان رباط كريم- چهارراه مصلي روبروي مسجد سيدا الشهدا چرخ خياطي خيام  
</t>
  </si>
  <si>
    <t>02156423355</t>
  </si>
  <si>
    <t>ساسان کرمخاني-رودهن</t>
  </si>
  <si>
    <t>رودهن</t>
  </si>
  <si>
    <t>رودهن-بلوار امام خميني-خيابان معلم-خيابان امام حسين</t>
  </si>
  <si>
    <t>76505334</t>
  </si>
  <si>
    <t>مهدي فتحي-پاکدشت</t>
  </si>
  <si>
    <t>پاکدشت</t>
  </si>
  <si>
    <t>استان تهران-شهرستان پاکدشت-بلوارجنوبي شهيد قمي-خ45 متري شهيد رحيمي-نبش سرو يکم-پلاک 325</t>
  </si>
  <si>
    <t>02136028342</t>
  </si>
  <si>
    <t>حسين صادقپور(شهرقدس)</t>
  </si>
  <si>
    <t>شهرقدس</t>
  </si>
  <si>
    <t xml:space="preserve">شهرقدس-بلوار 45 متري انقلاب -نرسيده به ميدان قدس روبروي پليس +10  
</t>
  </si>
  <si>
    <t>46810530</t>
  </si>
  <si>
    <t>اهنزي - فيروزکوه</t>
  </si>
  <si>
    <t>فيروزکوه</t>
  </si>
  <si>
    <t>فيروزکوه -  خيابان پاسداران - کوي کتابخانه - پلاک 11 اقاي اهنزي</t>
  </si>
  <si>
    <t>02176444682</t>
  </si>
  <si>
    <t>جعفريان دهكردي شاهپور - شهرکرد</t>
  </si>
  <si>
    <t>شهرکرد</t>
  </si>
  <si>
    <t>خيابان فردوسي بين فلكه فردوسي چهارراه سعدي</t>
  </si>
  <si>
    <t>03832225517</t>
  </si>
  <si>
    <t>مرداني- فارسان</t>
  </si>
  <si>
    <t>فارسان</t>
  </si>
  <si>
    <t xml:space="preserve">چهارمحال و بختياري- فارسان- ميدان امام حسين-ابتداي خ شهيد داوودي-ياسر مرداني 
</t>
  </si>
  <si>
    <t>03833231496</t>
  </si>
  <si>
    <t>بابائيان ناصر - لردگان</t>
  </si>
  <si>
    <t>لردگان</t>
  </si>
  <si>
    <t>:چهارمحال و بختياري-شهرستان لردگان 
بلوار شهيد كلانتري خيابان شهيد مطهري
مركز خدمات كاچيران آقاي بابائيان   -</t>
  </si>
  <si>
    <t>03834441545</t>
  </si>
  <si>
    <t>الهيان حسينقلي-بروجن</t>
  </si>
  <si>
    <t>بروجن</t>
  </si>
  <si>
    <t>يوسفيان (بيرجند)</t>
  </si>
  <si>
    <t>بيرجند</t>
  </si>
  <si>
    <t>منتظري نبش منتظري 7 فروشگاه يوسفيان</t>
  </si>
  <si>
    <t>05632224602</t>
  </si>
  <si>
    <t>ايرانخواه-  تربت جام</t>
  </si>
  <si>
    <t>تربت جام</t>
  </si>
  <si>
    <t xml:space="preserve">تربت جام-خيابان جامي نبش جامي8 و جامي 14-پلاك162 فروشگاه چرخ خياطي-آقاي ايران خواه 
</t>
  </si>
  <si>
    <t>05152525408</t>
  </si>
  <si>
    <t>طاووسي(تربت حيدريه)</t>
  </si>
  <si>
    <t>تربت حيدريه</t>
  </si>
  <si>
    <t xml:space="preserve">تربت حيدريه-بازار روس روبه روي اموزشگاه رانندگي البرز 
</t>
  </si>
  <si>
    <t>05152245559</t>
  </si>
  <si>
    <t>رمضاني-چناران</t>
  </si>
  <si>
    <t>چناران</t>
  </si>
  <si>
    <t xml:space="preserve">استان خراسان رضوي-چناران- خيابان امام خميني بازارمرکزي-فروشگاه قدس-آقاي رمضاني- 
</t>
  </si>
  <si>
    <t>05146122690</t>
  </si>
  <si>
    <t>فيروزي-خواف</t>
  </si>
  <si>
    <t>خواف</t>
  </si>
  <si>
    <t>خواف-خيابان شهاب-جنب بانک سپه-فروشگاه فيروزي- آقاي فيروزي-</t>
  </si>
  <si>
    <t>05154224162</t>
  </si>
  <si>
    <t>کريمي-درگز</t>
  </si>
  <si>
    <t>درگز</t>
  </si>
  <si>
    <t xml:space="preserve">درگز-خيابان امام خميني روبروي اداره پست-فروشگاه کريمي-آقاي کريمي- 
</t>
  </si>
  <si>
    <t>05146224479</t>
  </si>
  <si>
    <t>طبيبي-سبزوار</t>
  </si>
  <si>
    <t>سبزوار</t>
  </si>
  <si>
    <t>:سبزوار- ميدان کارگر- فروشگاه طبيبي- آقاي طبيبي-</t>
  </si>
  <si>
    <t>05144290070</t>
  </si>
  <si>
    <t>دهقان-سرخس</t>
  </si>
  <si>
    <t>سرخس</t>
  </si>
  <si>
    <t>سرخس- بلوار طالقاني شرقي- مقابل هتل ابريشم- فروشگاه دهقان- آقاي دهقان-</t>
  </si>
  <si>
    <t>05134522796</t>
  </si>
  <si>
    <t>آقاي غلام زاده-قائن</t>
  </si>
  <si>
    <t>قاين</t>
  </si>
  <si>
    <t>قائن- خيابان شهيد بهشتي-فروشگاه غلام زاده-</t>
  </si>
  <si>
    <t>05632521889</t>
  </si>
  <si>
    <t>ابراهيم زاده -قوچان نصراله</t>
  </si>
  <si>
    <t>قوچان</t>
  </si>
  <si>
    <t xml:space="preserve">خراسان رضوي-قوچان خيابان مطهري ابتداي عطار 
</t>
  </si>
  <si>
    <t>05147240068</t>
  </si>
  <si>
    <t>سبزه اي-کاشمر</t>
  </si>
  <si>
    <t>کاشمر</t>
  </si>
  <si>
    <t>کاشمر-خيابان امام- پاساژ شهرداري- آقاي سبزه اي-</t>
  </si>
  <si>
    <t>05328222227</t>
  </si>
  <si>
    <t>جواد نيايي-مشهد</t>
  </si>
  <si>
    <t>مشهد</t>
  </si>
  <si>
    <t>مشهد- خيابان دانشگاه- بين ميدان شهدا و سعدي-نبش سجادي-پلاک 132-آقاي جواد نيايي-</t>
  </si>
  <si>
    <t>05132250088</t>
  </si>
  <si>
    <t>جباري راد- نماينده مشهد</t>
  </si>
  <si>
    <t xml:space="preserve">مشهد-  خيابان دانشگاه بين دانشگاه 8 و10 - چرخ خياطي رضا-  جناب آقاي جباري راد- 
</t>
  </si>
  <si>
    <t>05132215300</t>
  </si>
  <si>
    <t>مشهد آقاي نيايي</t>
  </si>
  <si>
    <t>مشهد- بلوار مدرس  -بعدازهتل فردوسي -ساختمان شكوفا- آقاي نيائي نمايندگي  چرخ خياطي کاچيران استان خراسان</t>
  </si>
  <si>
    <t>05132254132</t>
  </si>
  <si>
    <t>غلامرضا رحيمي نژاد(نيشابور)</t>
  </si>
  <si>
    <t>نيشابور</t>
  </si>
  <si>
    <t>نيشابور-خ امام خميني-جنب پاساژ قريشي پاساژ نايب چرخ خياطي رضا پلاک 1145</t>
  </si>
  <si>
    <t>05142228414</t>
  </si>
  <si>
    <t>محمود گلستاني- نيشابور</t>
  </si>
  <si>
    <t>05142215291</t>
  </si>
  <si>
    <t>خيابان فردوسي جنوبي مقابل مسجد جامع-فروشگاه چرخ خياطي گلستاني</t>
  </si>
  <si>
    <t>شيرزاد- اسفراين</t>
  </si>
  <si>
    <t>اسفراين</t>
  </si>
  <si>
    <t>اسفراين- خيابان معلم- فروشگاه شيرزاد-آقاي شيرزاد-</t>
  </si>
  <si>
    <t>05837222776</t>
  </si>
  <si>
    <t>يحيي آبادي- اسفراين</t>
  </si>
  <si>
    <t>اسفراين-خيابان امام -چهارراه خرمشهر-فروشگاه يحيي آبادي- آقاي يحيي آبادي-</t>
  </si>
  <si>
    <t>05837229427</t>
  </si>
  <si>
    <t>بجنورد آقاي انتظاري</t>
  </si>
  <si>
    <t>بجنورد</t>
  </si>
  <si>
    <t>بجنورد 
ميدان شهدا سبزه ميدان  نمايندگي كاچيران 
 آقاي انتظاري   -</t>
  </si>
  <si>
    <t>05832225425</t>
  </si>
  <si>
    <t>محمود زاده حسيني سيد ابراهيم-نمايندگي جاجرم</t>
  </si>
  <si>
    <t xml:space="preserve">جاجرم-خيابان شهيد رجايي-پلاک 89  
</t>
  </si>
  <si>
    <t>05832272057</t>
  </si>
  <si>
    <t>اصغر پور- شيروان</t>
  </si>
  <si>
    <t>شيروان</t>
  </si>
  <si>
    <t>شيروان-خيابان کاشاني-فروشگاه اصغرپور- آقاي اصغر پور-</t>
  </si>
  <si>
    <t>05836224252</t>
  </si>
  <si>
    <t>نظامي پوراحمد - 2اهواز</t>
  </si>
  <si>
    <t>اهواز</t>
  </si>
  <si>
    <t xml:space="preserve">اهواز خيابان شريعتي پاساژ عصاره پلاك4 نمايندگي2كاچيران  
</t>
  </si>
  <si>
    <t>06132216372</t>
  </si>
  <si>
    <t>غبيشاوي ( اميديه)</t>
  </si>
  <si>
    <t>اميديه</t>
  </si>
  <si>
    <t>خوزستان- اميديه- خيابان بهداشت- شرکت نفت- فروشگاه لوازم خانگي نيايش- کد پستي: 3385163731</t>
  </si>
  <si>
    <t>06152620570</t>
  </si>
  <si>
    <t>صادق صيادي</t>
  </si>
  <si>
    <t>استان خوزستان اميديه مجتمع تجاري اميديه طبقه اول پلاک 227</t>
  </si>
  <si>
    <t>52632480</t>
  </si>
  <si>
    <t>شاه آبادي حميد - انديمشک</t>
  </si>
  <si>
    <t>انديمشک</t>
  </si>
  <si>
    <t>انديمشك
 خيابان اسحق روشني پاساژ شاه آبادي نمايندگي كاچيران 
 آقاي شاه آبادي  -</t>
  </si>
  <si>
    <t>06142624083</t>
  </si>
  <si>
    <t>نوذراصل صفرعلي - ايذه</t>
  </si>
  <si>
    <t>ايذه</t>
  </si>
  <si>
    <t>ايذه 
خيابان امام پاساژ مسلم نمايندگي كاچيران  آقاي نوذر اصل  -</t>
  </si>
  <si>
    <t>06143650841</t>
  </si>
  <si>
    <t>هادي شير مردي -ايذه</t>
  </si>
  <si>
    <t xml:space="preserve">خ شهيد کروندي جنب مدرسه ساختمان عسگري 
</t>
  </si>
  <si>
    <t>06143645488</t>
  </si>
  <si>
    <t>ابادان-خنفري</t>
  </si>
  <si>
    <t>آبادان</t>
  </si>
  <si>
    <t>آبادان  احمد اباد بين 9فرعي نبش 3 اصلي</t>
  </si>
  <si>
    <t xml:space="preserve">   6152731898</t>
  </si>
  <si>
    <t>خليل قنواتي- بندر ماهشهر</t>
  </si>
  <si>
    <t>06152325411</t>
  </si>
  <si>
    <t>بندر ماهشهر</t>
  </si>
  <si>
    <t>بندر ماهشهر-خ امام - کوچه علوي - پاساژوليعصر- نمايندگي کاچيران- جناب آقاي قنواتي-</t>
  </si>
  <si>
    <t>06152351429</t>
  </si>
  <si>
    <t>جليل قنواتي- بندر ماهشهر</t>
  </si>
  <si>
    <t>خيابان امام خميني - خيابان وصال- تقاطع مطهري - کوچه شهيد دريانورد</t>
  </si>
  <si>
    <t>بهبهان آقاي توفيق زاده</t>
  </si>
  <si>
    <t>بهبهان</t>
  </si>
  <si>
    <t>خوزستان - بهبهان
خيابان نحوي بين فلكه نحوي و چهنك جنب مسجد وليعصر
مركز خدمات كاچيران آقاي توفيق زاده-</t>
  </si>
  <si>
    <t>06152731898</t>
  </si>
  <si>
    <t>عباسي -بهبهان  صادق</t>
  </si>
  <si>
    <t>بهبهان 
فلكه اول بيدبلند ابتداي جاده سيمان جنب داروخانه هدايت فروشگاه عباسي  نمايندگي كاچيران  آقاي عباسي  -</t>
  </si>
  <si>
    <t>06152834564</t>
  </si>
  <si>
    <t>نجارپور- خرمشهر</t>
  </si>
  <si>
    <t>خرمشهر</t>
  </si>
  <si>
    <t>خرمشهر 40متري جنب بانک صادرات شعبه شهدا پاساژ سارا آقاي نجار پور مرکز خدمات کاچيران</t>
  </si>
  <si>
    <t>6153513114</t>
  </si>
  <si>
    <t>عباسي نژاد - خرمشهر</t>
  </si>
  <si>
    <t>خرمشهر
 فلكه اول پشت بازار روز پاساژ دريا پلاك 110 نمايندگي كاچيران خانم عباسي نژاد   -</t>
  </si>
  <si>
    <t>06324229534</t>
  </si>
  <si>
    <t>نظامي پور  محمدرضا-دزفول</t>
  </si>
  <si>
    <t>دزفول</t>
  </si>
  <si>
    <t xml:space="preserve">"دزفولخيابان شريعتي جنب دبيرستان كوثر نمايندگي كاچيران آقاي نظامي پور   -" 
</t>
  </si>
  <si>
    <t>6142233757</t>
  </si>
  <si>
    <t>توسرکاني محمدحسن -شوش دانيال</t>
  </si>
  <si>
    <t>شوش</t>
  </si>
  <si>
    <t>خوزستان - شهرستان شوش
ميدان يا زهرا نبش ايلام پلاك 51
مركز خدمات كاچيران آقاي توسركاني</t>
  </si>
  <si>
    <t>06142823752</t>
  </si>
  <si>
    <t>تفضلي - شوشتر</t>
  </si>
  <si>
    <t>شوشتر</t>
  </si>
  <si>
    <t>شوشتر - اول بازار عطاري  خيابان امام خميني - آقاي تفضلي</t>
  </si>
  <si>
    <t>6136222116</t>
  </si>
  <si>
    <t>محمد رضا ثابت ايماني</t>
  </si>
  <si>
    <t>استان خوزستان- شهرستان شوشتر- چهارراه امام - بازار نجاران- پاساژ بهار</t>
  </si>
  <si>
    <t>06136238209</t>
  </si>
  <si>
    <t>شوشتري زاده ولي-خدمات مسجد سليمان</t>
  </si>
  <si>
    <t>استان خوزستان -شهرستان مسجد سليمان -سه رهي مخابرات جنب بانک ملت</t>
  </si>
  <si>
    <t>صالحي- مرکز خدمات گتوند</t>
  </si>
  <si>
    <t>گتوند</t>
  </si>
  <si>
    <t>استان خوزستان- شهرستان گتوند- خيابان ميثم- روبروي قنادي آيلار- مرکز خدمات کاچيران- جناب آقاي  صالحي-</t>
  </si>
  <si>
    <t>مريديان سيروس - مسجدسليمان</t>
  </si>
  <si>
    <t>مسجد سليمان</t>
  </si>
  <si>
    <t>مسجدسليمان 
خيابان آزادي چهارراه شهرباني فروشگاه پرديس نمايندگي كاچيران آقاي مريديان  -</t>
  </si>
  <si>
    <t>06812228606</t>
  </si>
  <si>
    <t>اسعدي مرتضي - 1 زنجان</t>
  </si>
  <si>
    <t>زنجان</t>
  </si>
  <si>
    <t>زنجان-خيابان کوچمشکي- خيابان 20 متري رهبري- چهار راه سوم- نمايندگي کاچيران-جناب آقاي اسعدي-</t>
  </si>
  <si>
    <t>02433445881</t>
  </si>
  <si>
    <t xml:space="preserve"> آقاي داداشي</t>
  </si>
  <si>
    <t>ابهر</t>
  </si>
  <si>
    <t>ابهر : خيابان وليعصر پلاك 134</t>
  </si>
  <si>
    <t>02435275833</t>
  </si>
  <si>
    <t xml:space="preserve"> خانم نصيري </t>
  </si>
  <si>
    <t>خدابنده</t>
  </si>
  <si>
    <t>خدابنده- خيابان تختي - کوچه نسترن  - آموزشگاه مينا  - خانم نصيري</t>
  </si>
  <si>
    <t>02434224274</t>
  </si>
  <si>
    <t>مريم نصيري وطن</t>
  </si>
  <si>
    <t>استان زنجان- شهرستان زنجان- ميدان خواجه نصير الدين طوسي-کد پستي:4514673796- پلاک 140</t>
  </si>
  <si>
    <t>02433325355</t>
  </si>
  <si>
    <t>رضايي ماياني - دامغان</t>
  </si>
  <si>
    <t>دامغان</t>
  </si>
  <si>
    <t>"سمنان - شهرستان دامغان -ميدان امام-پاساژ الماس شهر-طبقه همکف-مغازه دوم 
 مركز خدمات كاچيران آقاي رضايي</t>
  </si>
  <si>
    <t>02335238546</t>
  </si>
  <si>
    <t>شيباني محمد - سمنان</t>
  </si>
  <si>
    <t>سمان</t>
  </si>
  <si>
    <t>سمنان  - خيابان امام - ميدان شريعتي ( تير اندازسابق) ضلع شرقي مغازه شماره 4 اصناف  پلاک  65 اقاي شيباني  مرکز خدمات کاچيران</t>
  </si>
  <si>
    <t>02333337243</t>
  </si>
  <si>
    <t>رزازان عبدالحميد - شاهرود</t>
  </si>
  <si>
    <t>شاهرود</t>
  </si>
  <si>
    <t xml:space="preserve">"شاهرود خيابان امام نمايندگي كاچيران  آقاي رزازان  -" 
</t>
  </si>
  <si>
    <t>2332229777</t>
  </si>
  <si>
    <t>منتظري- شاهرود</t>
  </si>
  <si>
    <t xml:space="preserve">سمنان -شاهرود- خيابان 17شهريور كوچه 6پشت تالار بزرگ شهر جنب مجتمع ارم 
</t>
  </si>
  <si>
    <t>2332225863</t>
  </si>
  <si>
    <t>كلاته خيج- آقاي عجم خيجي</t>
  </si>
  <si>
    <t>کلاته خيج</t>
  </si>
  <si>
    <t>سمنان - كلاته خليج
خيابان بانك صادرات فروشگاه و تعميرگاه چرخ كيميا
مركز خدمات كاچيران آقاي عجم خيجي -</t>
  </si>
  <si>
    <t>2332553690</t>
  </si>
  <si>
    <t>حاجيان عزيز محمد - گرمسار</t>
  </si>
  <si>
    <t>گرمسار</t>
  </si>
  <si>
    <t xml:space="preserve">"گرمسار اول شهرك شهيد قوباخلو خيابان شهيد فلاحي جنب آژانس رسالت پ 4 فروشگاه حاجيان نمايندگي كاچيران  آقاي حاجيان   -" 
</t>
  </si>
  <si>
    <t>02334222365</t>
  </si>
  <si>
    <t>تابان- مرکز خدمات مهديشهر</t>
  </si>
  <si>
    <t>مهديشهر</t>
  </si>
  <si>
    <t>استان سمنان- شهرستان مهديشهر- خيابان منبع آب- فروشگاه تابان- مرکز خدمات کاچيران- جناب آقاي تابان-</t>
  </si>
  <si>
    <t>2333621218</t>
  </si>
  <si>
    <t xml:space="preserve">ميرشکار </t>
  </si>
  <si>
    <t>زابل</t>
  </si>
  <si>
    <t>خ فردوسي پاساژ علويان فروشگاه ميرشکار</t>
  </si>
  <si>
    <t>054-32228331</t>
  </si>
  <si>
    <t xml:space="preserve">سپاهي </t>
  </si>
  <si>
    <t>زاهدان</t>
  </si>
  <si>
    <t>خ امام خميني روبروي بانک صادرات فروشگاه سپاهي</t>
  </si>
  <si>
    <t>5433238507</t>
  </si>
  <si>
    <t xml:space="preserve">سالارزايي </t>
  </si>
  <si>
    <t>خ امام خميني نرسيده به چهارراه شريعتي فروشگاه سالارزايي</t>
  </si>
  <si>
    <t>5433238855</t>
  </si>
  <si>
    <t xml:space="preserve"> ياوري</t>
  </si>
  <si>
    <t>کنارک</t>
  </si>
  <si>
    <t xml:space="preserve">"چابهار بلوار امام روبروي بسيج پايين تر از عكاسي همايون دفتر فني مهندسي تعاونمركز خدمات كاچيران آقاي ياوري" 
</t>
  </si>
  <si>
    <t>5435387518</t>
  </si>
  <si>
    <t>معاف پوريان (شيراز)</t>
  </si>
  <si>
    <t>شيراز</t>
  </si>
  <si>
    <t>چهارراه پارامونت</t>
  </si>
  <si>
    <t>7132357749</t>
  </si>
  <si>
    <t>کامياب آباده</t>
  </si>
  <si>
    <t>آباده</t>
  </si>
  <si>
    <t>استان فارس آباده خيابان 17شهريور بين دهخدا و حافظ نمايندگي کاچيران</t>
  </si>
  <si>
    <t>7153334229</t>
  </si>
  <si>
    <t>آباده خانم رضانيا</t>
  </si>
  <si>
    <t xml:space="preserve">آباده -خيابان دكتر شريعتي  -كوچه چهارم - پلاك 15- اموزشگاه خياطي فيروزه 
</t>
  </si>
  <si>
    <t>7144332817</t>
  </si>
  <si>
    <t>جهرم آقاي رحمانيان</t>
  </si>
  <si>
    <t>جهرم</t>
  </si>
  <si>
    <t xml:space="preserve">:جهرم خيابان جمهوري اسلامي جنب مخابرات آقاي رحماني 
</t>
  </si>
  <si>
    <t>07154223418</t>
  </si>
  <si>
    <t>کشاورز-خرامه</t>
  </si>
  <si>
    <t>خرامه</t>
  </si>
  <si>
    <t>استان فارس-خرامه-خيابان اسحاق شرقي-فروشگاه کشاورز-جناب آقاي کشاورز-</t>
  </si>
  <si>
    <t>07124624466</t>
  </si>
  <si>
    <t>صابري-داراب</t>
  </si>
  <si>
    <t>داراب</t>
  </si>
  <si>
    <t>داراب- خيابان پيروزي-جناب آقاي صابري-</t>
  </si>
  <si>
    <t>0782624266</t>
  </si>
  <si>
    <t>تابش-فسا</t>
  </si>
  <si>
    <t>فسا</t>
  </si>
  <si>
    <t>فسا-چهارراه سينما-خيابان نحوي-جناب آقاي تابش-</t>
  </si>
  <si>
    <t>071353315789</t>
  </si>
  <si>
    <t>فيروزآباد-راستي</t>
  </si>
  <si>
    <t>فيروز آباد</t>
  </si>
  <si>
    <t>فيروزآبادفارس-چهرراه ابوذر-پاساژ روزبه-طبقه دوم-خدمات كاچيران-</t>
  </si>
  <si>
    <t>7138729979</t>
  </si>
  <si>
    <t>برومند- کازرون</t>
  </si>
  <si>
    <t>کازرون</t>
  </si>
  <si>
    <t>کازرون- بازار مصلايي-فروشگاه برومند-جناب آقاي برومند-</t>
  </si>
  <si>
    <t>07142228912</t>
  </si>
  <si>
    <t>لار1 اقاي زينل زاده</t>
  </si>
  <si>
    <t>لار</t>
  </si>
  <si>
    <t>لار1اقاي  زينل زاده خيابان خامنه اي مقابل باغ ملي شهرداري اقاي زينل زاده</t>
  </si>
  <si>
    <t>07152340709</t>
  </si>
  <si>
    <t>لار 2 اقاي رحمتي</t>
  </si>
  <si>
    <t>لار -بين دوشهر  -د نمايندگي شماره 2 كاچيران آقاي رحمتي</t>
  </si>
  <si>
    <t>078123255</t>
  </si>
  <si>
    <t>مهرنگار-لامرد</t>
  </si>
  <si>
    <t>لامرد</t>
  </si>
  <si>
    <t xml:space="preserve">للامرد- بلوار 15 خرداد-جنب شيشه بري حسين زاده - کد پستي 74341-فروشگاه مهرنگار- نمايندگي کاچيران- جناب آقاي مهرنگار- 
</t>
  </si>
  <si>
    <t>07825222273</t>
  </si>
  <si>
    <t>زارع- مرودشت</t>
  </si>
  <si>
    <t>مرودشت</t>
  </si>
  <si>
    <t>مرودشت- پاساژ انقلاب- فروشگاه اشکان- جناب آقاي زارع-</t>
  </si>
  <si>
    <t>07282224318</t>
  </si>
  <si>
    <t>مقصودي-نورآباد</t>
  </si>
  <si>
    <t>نورآباد</t>
  </si>
  <si>
    <t>نور آباد- خ پاسداران-جنب سالن بسيج نمايندگي کاچيران</t>
  </si>
  <si>
    <t>7142541591</t>
  </si>
  <si>
    <t>مقصودي- ني ريز</t>
  </si>
  <si>
    <t>ني ريز</t>
  </si>
  <si>
    <t>ني ريز- خيابان طالقاني-فروشگاه لوازم خانگي مقصودي</t>
  </si>
  <si>
    <t>07153824277</t>
  </si>
  <si>
    <t>نوري فرضعلي - 1 قزوين</t>
  </si>
  <si>
    <t>قزوين</t>
  </si>
  <si>
    <t>قزوين - خ طالقاني - نمايندگي 1 كاچيران - آقاي نوري</t>
  </si>
  <si>
    <t>2833226136</t>
  </si>
  <si>
    <t>موروثي محمد - 2 قزوين</t>
  </si>
  <si>
    <t xml:space="preserve">قزوين خيابان طالقاني بعد ازانتقال خون روبروي برج خليج فارس نمايندگي كاچيران آقاي موروثي  -" 
</t>
  </si>
  <si>
    <t>2833228155</t>
  </si>
  <si>
    <t>قزوين - يزدي پور</t>
  </si>
  <si>
    <t>قزوين - خيابان طالقاني-روبروي كوچه دارايي-فروشگاه يزدي پور نمايندگي کاچيران-</t>
  </si>
  <si>
    <t>02833226768</t>
  </si>
  <si>
    <t>نقدي پورمحمد - الوند</t>
  </si>
  <si>
    <t>الوند</t>
  </si>
  <si>
    <t>خيابان دکتر رحيميان  پاساز قائم آقاي نقدي پور -مرکز خدمات کاچيران-</t>
  </si>
  <si>
    <t>2832221196 0</t>
  </si>
  <si>
    <t>آبيك آقاي رضا زاده</t>
  </si>
  <si>
    <t>آبيک</t>
  </si>
  <si>
    <t>آبيك
خيابان طالقاني جنب بانك تجارت ساختمان كاسپين نمايندگي كاچيران آقاي رضا زاده -</t>
  </si>
  <si>
    <t>2832826565</t>
  </si>
  <si>
    <t>يزدان مهر - تاكستان</t>
  </si>
  <si>
    <t>تاكستان</t>
  </si>
  <si>
    <t>قزوين - تاكستان- خيابان امام روبروي ميراث فرهنگي پاساژ سيمرغ</t>
  </si>
  <si>
    <t>02835248821</t>
  </si>
  <si>
    <t>ياسر ناصر - قم 2</t>
  </si>
  <si>
    <t>قم</t>
  </si>
  <si>
    <t>قم
45متري عمارياسرمقابل قنادي بعثت پلاك124نمايندگي 2 كاچيران 
آقاي ياسر   -</t>
  </si>
  <si>
    <t>02537704083</t>
  </si>
  <si>
    <t>نيك صفت محمد حسين - 3 قم</t>
  </si>
  <si>
    <t>قم 
خيابان انقلاب45متري عمارياسرپلاك99نمايندگي 3كاچيران
 آقاي نيك صفت  -</t>
  </si>
  <si>
    <t>02537727785</t>
  </si>
  <si>
    <t>تاج زاده-قم</t>
  </si>
  <si>
    <t>قم -سه راه بازار-داخل بازار-جنب كاروانسراي بناها-فروشگاه چرخ خياطي تاج زاده-نمايندگي 4 كاچيران-</t>
  </si>
  <si>
    <t>2537720120</t>
  </si>
  <si>
    <t>پيله وري گودرز -2 سنندج</t>
  </si>
  <si>
    <t>سنندج</t>
  </si>
  <si>
    <t>سنندج 
خيابان پاسدران سراي نداپلاك1 نمايندگي2 كاچبران
 آقاي پيله‌وري  -</t>
  </si>
  <si>
    <t>8733231583</t>
  </si>
  <si>
    <t>سنندج آقاي مرادياني</t>
  </si>
  <si>
    <t>سنندج 
بازار آصف نمايندگي 1كاچيران آقاي مرادياني   -</t>
  </si>
  <si>
    <t>08733236691</t>
  </si>
  <si>
    <t>حيدري احمد - اسلام آباد</t>
  </si>
  <si>
    <t>اسلام آباد</t>
  </si>
  <si>
    <t>اسلام آباد غرب ميدان هدايت پاساژ مراديان طبقه دوم</t>
  </si>
  <si>
    <t>08335224638</t>
  </si>
  <si>
    <t>شاهدوست-  مركز خدمات بانه</t>
  </si>
  <si>
    <t>بانه</t>
  </si>
  <si>
    <t>كردستان - شهرستان بانه
خيابان امام پائين تر از آموزش و پرورش فروشگاه كيوان
مركز خدمات كاچيران آقاي شاهدوست   -</t>
  </si>
  <si>
    <t>08734220764</t>
  </si>
  <si>
    <t>ايزد پناه - بانه</t>
  </si>
  <si>
    <t>بانه - خيابان شهدا- جنب پاساژ خدري - کوچه حضري - چرخ خياطي مجيد  - اقاي ايزد پناه</t>
  </si>
  <si>
    <t>08734223653</t>
  </si>
  <si>
    <t>بيجار آقاي كوچكي</t>
  </si>
  <si>
    <t>بيجار</t>
  </si>
  <si>
    <t>كردستان - بيجار
خيابان توحيد پاساژ رحيمي 
نمايندگي كاچيران  آقاي كوچكي-</t>
  </si>
  <si>
    <t>08724226824</t>
  </si>
  <si>
    <t>محمد اسماعيلي(ديواندره)</t>
  </si>
  <si>
    <t>ديواندره</t>
  </si>
  <si>
    <t>کردستان-ديواندره-خيابان امام خميني-پاساژ جهاني-فروشگاه محمد اسماعيلي</t>
  </si>
  <si>
    <t>08738725954</t>
  </si>
  <si>
    <t>رشيدي  صديق -سقز</t>
  </si>
  <si>
    <t>سقز</t>
  </si>
  <si>
    <t>سقز بازلر بالا سراي اتحاد فروشگاه رشيدي</t>
  </si>
  <si>
    <t>08736222883</t>
  </si>
  <si>
    <t>زارعي - سنندج</t>
  </si>
  <si>
    <t>سنندج شهرک بهاران ناحيه 4/19 بلوار 29 اسفند خيابان اول روبروي پارک جنگلي خانم شهلا زارعي مرکز خدمات پس از فروش</t>
  </si>
  <si>
    <t>08733714470</t>
  </si>
  <si>
    <t>زرين - قروه</t>
  </si>
  <si>
    <t>قروه</t>
  </si>
  <si>
    <t>استان کردستان - قروه - خيابان سيد جمال الدين - کوچه فعله گري</t>
  </si>
  <si>
    <t>08735246771</t>
  </si>
  <si>
    <t>طالباني خدا کرم -مريوان</t>
  </si>
  <si>
    <t>مريوان</t>
  </si>
  <si>
    <t>كردستان - شهرستان مريوان
خيابان جمهوري اسلامي پاساژ 23 تير طبقه دوم 
مركز خدمات كاچيران آقاي طالباني    -</t>
  </si>
  <si>
    <t>08734523947</t>
  </si>
  <si>
    <t>حلاوتي مهدي - 2کرمان</t>
  </si>
  <si>
    <t>کرمان</t>
  </si>
  <si>
    <t xml:space="preserve">كرمان چهاراه كاظمي نمايشگاه دنياي چرخ خياطي نمايندگي 2كاچيران  
</t>
  </si>
  <si>
    <t>03432222599</t>
  </si>
  <si>
    <t>حمزه نژاد حسين - بافت</t>
  </si>
  <si>
    <t>بافت</t>
  </si>
  <si>
    <t>كرمان - شهرستان بافت
خيابان مفتح فروشگاه چرخ خياطي حمزه نژاد
مركز خدمات كاچيران آقاي حمزه نژاد   -</t>
  </si>
  <si>
    <t>03442423756</t>
  </si>
  <si>
    <t>خراساني نژاد عباس - بم</t>
  </si>
  <si>
    <t>بم</t>
  </si>
  <si>
    <t>بم
 خيابان امام روبروي مصلي نمايندگي چرخ خياطي كاچيران
آقاي خراساني نژاد  -</t>
  </si>
  <si>
    <t>3444214146</t>
  </si>
  <si>
    <t>صديق پور مسعود-جيرفت</t>
  </si>
  <si>
    <t>جيرفت</t>
  </si>
  <si>
    <t xml:space="preserve">جيرفت خيابان ابوذر جنوبي پ 41 
</t>
  </si>
  <si>
    <t>3443216847</t>
  </si>
  <si>
    <t>اوحدي لاهيجاني-رفسنجان</t>
  </si>
  <si>
    <t>رفسنجان</t>
  </si>
  <si>
    <t>رفسنجان - خيابان شهدا - چهارراه طلاب خانه - اول خيابان معلم</t>
  </si>
  <si>
    <t>03434262803</t>
  </si>
  <si>
    <t>نبوي زاده رفسنجان محمد - 2رفسنجان</t>
  </si>
  <si>
    <t>رفسنجان -خيابان انقلاب بازار اصلي آقاي نبوي زاده نمايندگي كاچيران</t>
  </si>
  <si>
    <t>3434259614 0</t>
  </si>
  <si>
    <t>عليمحمدي رفسنجان</t>
  </si>
  <si>
    <t>رفسنجان  خيابان شهيد بهشتي فروشگاه پيمان نمايندگي کاچيران آقاي عليمحمدي</t>
  </si>
  <si>
    <t>3434262483</t>
  </si>
  <si>
    <t>حسيني سيد علي اكبر- زرند</t>
  </si>
  <si>
    <t>زرند</t>
  </si>
  <si>
    <t>كرمان - شهرستان زرند 
خيابان فردوسي روبروي بانك سپه
مركز خدمات كاچيران آقاي حسيني   -</t>
  </si>
  <si>
    <t>03433431428</t>
  </si>
  <si>
    <t>اميري مصطفي - زرند</t>
  </si>
  <si>
    <t>استان كرمان- شهرستان زرند
خيابان باهنر پلاك 79
نمايندگي كاچيران آقاي اميري</t>
  </si>
  <si>
    <t>03433430286</t>
  </si>
  <si>
    <t>حسيني ناصر - سيرجان</t>
  </si>
  <si>
    <t>سيرجان</t>
  </si>
  <si>
    <t>سيرجان بلوار سيد جمال - سه راه قريب پلاک 281 آقاي حسيني - مرکز خدمات کاچيران</t>
  </si>
  <si>
    <t>3442307839</t>
  </si>
  <si>
    <t>نجمي -سيرجان 2</t>
  </si>
  <si>
    <t>سيرجان
بلوار سيد جمال الدين نبش خيابان هجرت شماره 81
نمايندگي كاچيران آقاي نجمي نژاد  -</t>
  </si>
  <si>
    <t>03442301788</t>
  </si>
  <si>
    <t xml:space="preserve">احمدي پور-نمايندگي شهربابك </t>
  </si>
  <si>
    <t>شهربابک</t>
  </si>
  <si>
    <t>شهر بابك
خيابان خامنه اي روبروي بانك ملي سفلي نمايندگي كاچيران آقاي احمدي</t>
  </si>
  <si>
    <t>03434121077</t>
  </si>
  <si>
    <t>مجيد اميري راد- کرمانشاه 3</t>
  </si>
  <si>
    <t>کرمانشاه</t>
  </si>
  <si>
    <t>کرمانشاه- خيابان مدرس جنوبي- بالاتر از پارکينگ شهرداري- پلاک 114- آقاي مجيد اميري راد</t>
  </si>
  <si>
    <t>8337275716</t>
  </si>
  <si>
    <t>واعظي - سنقر</t>
  </si>
  <si>
    <t>سنقر</t>
  </si>
  <si>
    <t>سنقر کليايي - خيابان خامنه اي -  مرکز خدمات کاچيران آقاي واعظي</t>
  </si>
  <si>
    <t>8348436612</t>
  </si>
  <si>
    <t>پرتوي عباسعلي - صحنه</t>
  </si>
  <si>
    <t>صحنه</t>
  </si>
  <si>
    <t>کرمانشاه - شهرستان صحنه - خيابان شهيد رستمي - روبروي اداره پست - پاساژ ملت -پلاک8و9 آقاي پرتوي - مرکز خدمات کاچيران</t>
  </si>
  <si>
    <t>08383226744</t>
  </si>
  <si>
    <t>كرمانشاه آقاي حميد اميري راد</t>
  </si>
  <si>
    <t>كرمانشاه
راسته بازار كوچه تلفنخانه سابق پلاك 15
مركز خدمات كاچيران آقاي اميري راد   -</t>
  </si>
  <si>
    <t>08337226563</t>
  </si>
  <si>
    <t>حقيقي فر - خدمات کنگاور</t>
  </si>
  <si>
    <t>کنگاور</t>
  </si>
  <si>
    <t>کنگاور- خيابان طيبه زماني - فروشگاه شيک- مرکز خدمات کاچيران- جناب آقاي حقيقي فر-</t>
  </si>
  <si>
    <t>08348222775</t>
  </si>
  <si>
    <t>حسن بيگي - گيلان غرب</t>
  </si>
  <si>
    <t>گيلان غرب</t>
  </si>
  <si>
    <t>کرمانشاه- گيلان غرب- روبروي پاسگاه مرکزي کلانتري 11- خياطي سپيده- حسن بيگي-</t>
  </si>
  <si>
    <t>08343227080</t>
  </si>
  <si>
    <t>فضل اله عزيزي نيا(دهدشت)</t>
  </si>
  <si>
    <t>دهدشت</t>
  </si>
  <si>
    <t>استان کهگلويه و بويراحمد-شهرستان دهدشت خيابان 17 شهريور</t>
  </si>
  <si>
    <t>074-32270420</t>
  </si>
  <si>
    <t>گچساران آقاي جمشيدي</t>
  </si>
  <si>
    <t>گچساران</t>
  </si>
  <si>
    <t>گچساران
 خيابان مدرس غربي پاساژ احسان نمايندگي كاچيران 
آقاي جمشيدي  -</t>
  </si>
  <si>
    <t>07432225889</t>
  </si>
  <si>
    <t>حيدري اردكاني عبدالحسين - ياسوج</t>
  </si>
  <si>
    <t>ياسوج</t>
  </si>
  <si>
    <t>ياسوج بلوار مطهري - فلكه ساعت  خيابان دانش آموز  پلاك 24</t>
  </si>
  <si>
    <t>7433224175</t>
  </si>
  <si>
    <t>سكينه داموغ(بهمئي)</t>
  </si>
  <si>
    <t>بهمئي</t>
  </si>
  <si>
    <t>كهگلويه و بوير احمد-شهرستان بهمئي- ليكك-خ جمهوري اسلامي-فروشگاه داموغ</t>
  </si>
  <si>
    <t>07432823453</t>
  </si>
  <si>
    <t>سعيد خنداني - دهدشت</t>
  </si>
  <si>
    <t>دهدشت خيابان  17 شهريور فروشگاه چرخ خنداني</t>
  </si>
  <si>
    <t>32271550</t>
  </si>
  <si>
    <t>رحمت طعنه(آق قلا)</t>
  </si>
  <si>
    <t>آق قلا</t>
  </si>
  <si>
    <t>خيابان امام خميني مابين فلکه قديم وپل قديم</t>
  </si>
  <si>
    <t>17345220470</t>
  </si>
  <si>
    <t>گركز طاهر  نمايندگي آق قلا</t>
  </si>
  <si>
    <t xml:space="preserve">آق قلا
اول خيابان بيت المقدس نمايندگي كاچيران آقاي گركز      
</t>
  </si>
  <si>
    <t>01735220916</t>
  </si>
  <si>
    <t>کلته حليم بردي - بندر تركمن</t>
  </si>
  <si>
    <t>بندر ترکمن</t>
  </si>
  <si>
    <t>بند ترکمن-خيابان جمهوري اسلامي (6) پلاک 100 نمايندگي کاچيران آقاي حليم بردي کلته</t>
  </si>
  <si>
    <t>01734423493</t>
  </si>
  <si>
    <t>جواد صحرايي(علي آباد کتول)</t>
  </si>
  <si>
    <t>علي آباد کتول</t>
  </si>
  <si>
    <t>استان گلستان-شهرستان علي آباد کتول-خيابان ورزش-نماينگي کاچيران</t>
  </si>
  <si>
    <t>01734236499</t>
  </si>
  <si>
    <t>طهماسبي نوا  معصومه-كردكوي</t>
  </si>
  <si>
    <t>کردکوي</t>
  </si>
  <si>
    <t>گلستان - شهرستان كردكوي
خيابان جنگل جنب تاكسي تلفني رفاه فروشگاه ياسمين
مركز خدمات كاچيران خانم طهماسبي   -</t>
  </si>
  <si>
    <t>01734346006</t>
  </si>
  <si>
    <t>گرگان خانم حمزه نژاد</t>
  </si>
  <si>
    <t>گرگان</t>
  </si>
  <si>
    <t>گلستان - گرگان
خيابان شهيد بهشتي نبش بهشت 7 پلاك 109
مركز خدمات كاچيران خانم حمزه نژاد</t>
  </si>
  <si>
    <t>01732224145</t>
  </si>
  <si>
    <t>کاشاني راد-گرگان</t>
  </si>
  <si>
    <t>گلستان - شهرستان 'گرگان
خيابان امام خميني جنب بانك سپه مركزي 
مركز خدمات كاچيران آقاي كاشاني راد   -</t>
  </si>
  <si>
    <t>07132229403</t>
  </si>
  <si>
    <t>معمارصاحب الياس - گرگان</t>
  </si>
  <si>
    <t>گرگان خيابان امام خميني روبروي درب نو  نمايندگي كاچيران  آقاي معمار  -</t>
  </si>
  <si>
    <t>01732227108</t>
  </si>
  <si>
    <t>ايري عبدالجبار- گميشان</t>
  </si>
  <si>
    <t>گميشان</t>
  </si>
  <si>
    <t>استان گلستان - شهرستان گميشان - فلکه امام خميني ( شهرداري )پلاک 1</t>
  </si>
  <si>
    <t>01734463859</t>
  </si>
  <si>
    <t>مهاجرعلي - گنبدكاووس</t>
  </si>
  <si>
    <t>گنبدکاووس</t>
  </si>
  <si>
    <t>گنبد كاووس 
خيابان طالقاني نبش حافظ نمايندگي كاچيران
 آقاي مهاجر  -</t>
  </si>
  <si>
    <t>01733296662</t>
  </si>
  <si>
    <t>عليزاده مجيد - 1 رشت</t>
  </si>
  <si>
    <t>رشت</t>
  </si>
  <si>
    <t>رشت سبزه ميدان اول خ بيستون پلاك 103  نمايندگي1كاچيران 
 آقاي عليزاده  -</t>
  </si>
  <si>
    <t>01333221271</t>
  </si>
  <si>
    <t>رهبرمحمد مهدي - 2رشت</t>
  </si>
  <si>
    <t>رشت
 خيابان شريعتي نبش خ تختي فروشگاه مركزي رهبر نمايندگي 2كاچيران آقاي رهبر   -</t>
  </si>
  <si>
    <t>1333231735</t>
  </si>
  <si>
    <t>عليزاده(تحت پوشش رشت)</t>
  </si>
  <si>
    <t>رشت(تحت پوشش)</t>
  </si>
  <si>
    <t>خياط درستكار مظفر - آستارا</t>
  </si>
  <si>
    <t>آستارا</t>
  </si>
  <si>
    <t>آستارا 
خيابان خميني روبروي فروشگاه رزمي نمايندگي كاچيران
 آقاي خياط درستكار  -</t>
  </si>
  <si>
    <t>01344822540</t>
  </si>
  <si>
    <t>ستوده</t>
  </si>
  <si>
    <t>آستانه اشرفيه</t>
  </si>
  <si>
    <t>گيلان آستانه اشرفيه نبش پاساژ رحيمي تحت پوشش عليزاده</t>
  </si>
  <si>
    <t>انزلي آقاي مسروري</t>
  </si>
  <si>
    <t>بندر انزلي</t>
  </si>
  <si>
    <t>انزلي  - خ مطهري اول کوي قاسميان -پ108 بازرگاني کيوان ک پ 4313674843</t>
  </si>
  <si>
    <t>01344543281</t>
  </si>
  <si>
    <t>اسلام پناه تالش</t>
  </si>
  <si>
    <t>تالش</t>
  </si>
  <si>
    <t>تالش خيابان سعدي پاساژ حسين پور آقاي اسلام پناه نمايندگي كاچيران -</t>
  </si>
  <si>
    <t>01344223001</t>
  </si>
  <si>
    <t>ابريشمي(تالش)</t>
  </si>
  <si>
    <t>امام جمعه ابوالفضل - رودبار</t>
  </si>
  <si>
    <t>رودبار</t>
  </si>
  <si>
    <t>رودبار-پايين بازار -روبروي اداره پست- خيابان حافظ- نمايندگي چرخ خياطي کاچيران- فروشگاه امير- صندوق پستي 1154-  جناب آقاي امام جمعه</t>
  </si>
  <si>
    <t>1336224451</t>
  </si>
  <si>
    <t>سميعي(رودسر)</t>
  </si>
  <si>
    <t>رودسر</t>
  </si>
  <si>
    <t>گيلان رودسر خيابان انقلاب</t>
  </si>
  <si>
    <t>افشاري نژادرودسري - کلاچاي</t>
  </si>
  <si>
    <t>01342682027</t>
  </si>
  <si>
    <t>کلاچاي</t>
  </si>
  <si>
    <t>گيلان - شهرستان كلاچاي
خيابان شهيد بهشتي كوچه مسجد جامع 
مركز خدمات كاچيران آقاي افشاري نژاد</t>
  </si>
  <si>
    <t>لاهيجان آقاي محجوبي</t>
  </si>
  <si>
    <t>لاهيجان</t>
  </si>
  <si>
    <t>لاهيجان
خيابان كاشف شرقي روبروي آژانس مرکزي , فروشگاه محجوبي نمايندگي كاچيران    -</t>
  </si>
  <si>
    <t>01412228324</t>
  </si>
  <si>
    <t>لنگرود آقاي دلشاد</t>
  </si>
  <si>
    <t>لنگرود</t>
  </si>
  <si>
    <t>لنگرود 
جنب پل خشتي نمايندگي كاچيران آقاي دلشاد  -</t>
  </si>
  <si>
    <t>01342523948</t>
  </si>
  <si>
    <t>کشوري محمدرضا-خرم اباد</t>
  </si>
  <si>
    <t>06633306248</t>
  </si>
  <si>
    <t>خرم آباد</t>
  </si>
  <si>
    <t>خرم آباد 
سبزه ميدان سه راه دانشگاه فروشگاه كشوري
 نمايندگي كاچيران آقاي كشوري   -</t>
  </si>
  <si>
    <t>علي مراد اسدالهي(الشتر)</t>
  </si>
  <si>
    <t>الشتر</t>
  </si>
  <si>
    <t>خيابان شهيد رحيمي غربي پلاک 247</t>
  </si>
  <si>
    <t>06632522192</t>
  </si>
  <si>
    <t>معرفت عبدالحسين - بروجرد</t>
  </si>
  <si>
    <t>بروجرد</t>
  </si>
  <si>
    <t>لرستان - شهرستان بروجرد 
ميدان شهدا پاساژ شقايق طبقه دوم 
مرکزخدمات كاچيران آقاي معرفت   -</t>
  </si>
  <si>
    <t>6642622652</t>
  </si>
  <si>
    <t>فطرس علي - بروجرد</t>
  </si>
  <si>
    <t>بروجرد
خيابان شهدا شماره 89  نمايندگي كاچيران 
 آقاي فطرس   -</t>
  </si>
  <si>
    <t>06642621227</t>
  </si>
  <si>
    <t>ابراهيم نژاد علي - نمايندگي پل دختر</t>
  </si>
  <si>
    <t>پل دختر</t>
  </si>
  <si>
    <t xml:space="preserve">خ امام خميني پاساژ عموزاده 
</t>
  </si>
  <si>
    <t>06632221185</t>
  </si>
  <si>
    <t>خطيبي-درود</t>
  </si>
  <si>
    <t>دورود</t>
  </si>
  <si>
    <t>استان لرستان-شهرستان دورود-خيابان کندوان-بازار روز سراي هخامنش</t>
  </si>
  <si>
    <t>06643237127</t>
  </si>
  <si>
    <t>مهدي حيدري</t>
  </si>
  <si>
    <t>استان لرستان شهرستان درود خيابان امام خيابان صناعي</t>
  </si>
  <si>
    <t>54226123</t>
  </si>
  <si>
    <t>کوشکي شهباز بگ - کوهدشت</t>
  </si>
  <si>
    <t>کوهدشت</t>
  </si>
  <si>
    <t>لرستان - شهرستان كوهدشت
خيابان امام روبروي تعاوني 5 فروشگاه چرخ كوشكي
مركز خدمات كاچيران آقاي كوشكي   -</t>
  </si>
  <si>
    <t>066-32627922</t>
  </si>
  <si>
    <t>حسين محمديان-نور آباد</t>
  </si>
  <si>
    <t>نور آباد</t>
  </si>
  <si>
    <t xml:space="preserve">نور آباد _ لرستان خ امام مجتمع تجاري شهيدبهشتي_ نمايندگي چرخ خياطي کاچيران 
</t>
  </si>
  <si>
    <t>6632725529</t>
  </si>
  <si>
    <t>ثالث رمضانعلي - 1 آمل</t>
  </si>
  <si>
    <t>آمل</t>
  </si>
  <si>
    <t>آمل 
خيابان مهديه نمايندگي يك كاچيران 
آقاي ثالث   -</t>
  </si>
  <si>
    <t>01144225422</t>
  </si>
  <si>
    <t>سعادت سيروس - 2 آمل</t>
  </si>
  <si>
    <t>آمل 
خيابان غربي شهرداري نمايندگي 2كاچيران
 آقاي سعادتي   -</t>
  </si>
  <si>
    <t>01144224289</t>
  </si>
  <si>
    <t>حجازي - بابل1</t>
  </si>
  <si>
    <t>بابل</t>
  </si>
  <si>
    <t>بابل- سبزه ميدان - پاساژ تندست - آقاي حجازي نمايندگي  کاچيران بابل1</t>
  </si>
  <si>
    <t>01132196557</t>
  </si>
  <si>
    <t>اسدي- بابل 2</t>
  </si>
  <si>
    <t>بابل- خيابان يوسفي- فروشگاه برادران اسدي- جناب آقاي اسدي -</t>
  </si>
  <si>
    <t>01132228286</t>
  </si>
  <si>
    <t>اسفندياري حبيب - بابلسر</t>
  </si>
  <si>
    <t>بابلسر</t>
  </si>
  <si>
    <t>مازندران - شهرستان بابلسر
بلوار شريفي-روبروي سازمان تبليغات اسلامي-  
مركز خدمات كاچيران آقاي اسفندياري   -</t>
  </si>
  <si>
    <t>01135337014</t>
  </si>
  <si>
    <t>طاهري- بهشهر</t>
  </si>
  <si>
    <t>بهشهر</t>
  </si>
  <si>
    <t>بهشهر- خيابان امام- پاساژ توسلي- طبقه زيرين- آقاي طاهري-</t>
  </si>
  <si>
    <t>01134520551</t>
  </si>
  <si>
    <t>شهاب شادمان(تنکابن)</t>
  </si>
  <si>
    <t>تنکابن</t>
  </si>
  <si>
    <t>تنکابن-ميدان هفت تير-جنب مشاورين املاک پلاک</t>
  </si>
  <si>
    <t>01154237381</t>
  </si>
  <si>
    <t>تنكابن آقاي جعفري</t>
  </si>
  <si>
    <t>تنكابن 
خيابان اميركبير پاساژ همشهري  نمايندگي كاچيران
آقاي جعفري  -</t>
  </si>
  <si>
    <t>01154224496</t>
  </si>
  <si>
    <t>شعباني سراجي  كريم -جويبار</t>
  </si>
  <si>
    <t>جويبار</t>
  </si>
  <si>
    <t>مازندران - شهرستان جويبار 
خ شريعتي-جنب شهرداري قديم 
مركز خدمات كاچيران آقاي شعباني   -</t>
  </si>
  <si>
    <t>1142548563</t>
  </si>
  <si>
    <t>سيدانبيا خوش صولت(چالوس)</t>
  </si>
  <si>
    <t>چالوس</t>
  </si>
  <si>
    <t>شهرستان چالوس بازار روز-پاساژ مهر طبقه همکف</t>
  </si>
  <si>
    <t>01152226471</t>
  </si>
  <si>
    <t>رامسر آقاي افشار</t>
  </si>
  <si>
    <t>رامسر</t>
  </si>
  <si>
    <t>رامسر 
خبابان مطهري ابريشم محله نمايندگي كاچيران 
 آقاي افشار   -</t>
  </si>
  <si>
    <t>1155221756</t>
  </si>
  <si>
    <t>سمناني رهبر  رضا - ساري</t>
  </si>
  <si>
    <t>ساري</t>
  </si>
  <si>
    <t>ساري
 خيابان انقلاب مقابل اداره مخابرات نمايندگي 2 كاچيران 
             -</t>
  </si>
  <si>
    <t>01133322912</t>
  </si>
  <si>
    <t>فريدونكنار آقاي اسفندياري</t>
  </si>
  <si>
    <t>فرويدونکنار</t>
  </si>
  <si>
    <t>فريدونكنار  
ميدان ماهي نمايندكي كاچيران آقاي اسفندياري  -</t>
  </si>
  <si>
    <t>01135657087</t>
  </si>
  <si>
    <t>حاجي رمضانعلي - قائمشهر</t>
  </si>
  <si>
    <t>قايمشهر</t>
  </si>
  <si>
    <t xml:space="preserve">قائم شهرخيابان تهران مقابل پاساژ رنجبرنمايندگي كاچيران  
</t>
  </si>
  <si>
    <t>1142222729</t>
  </si>
  <si>
    <t>خادمي- گلوگاه</t>
  </si>
  <si>
    <t>گلوگاه</t>
  </si>
  <si>
    <t>گلوگاه- خيابان امام- جنب بانک رفاه- آقاي فغانعلي خادمي-</t>
  </si>
  <si>
    <t>01134664101</t>
  </si>
  <si>
    <t>طاهري برمائي  مهدي - نكاء</t>
  </si>
  <si>
    <t>نکا</t>
  </si>
  <si>
    <t>نكا
خيابان انقلاب پاساژ امام نمايندگي كاچيران 
 آقاي طاهري  -</t>
  </si>
  <si>
    <t>01134729520</t>
  </si>
  <si>
    <t>دهقان  كاظم -نور</t>
  </si>
  <si>
    <t>نور</t>
  </si>
  <si>
    <t>نور 
خيابان ناطق نوري كوچه نور هفتم نمايندگي كاچيران
 آقاي دهقان   -</t>
  </si>
  <si>
    <t>01144525383</t>
  </si>
  <si>
    <t>نوشهر آقاي خواجه حسيني</t>
  </si>
  <si>
    <t>نوشهر</t>
  </si>
  <si>
    <t>نوشهر-خيابان آزادي  خيابان شهيد سنگاري ( بهرام سابق)پلاک 114</t>
  </si>
  <si>
    <t>01152339634</t>
  </si>
  <si>
    <t>مجيد سبحاني(اراک)</t>
  </si>
  <si>
    <t>اراک</t>
  </si>
  <si>
    <t>فلکه البرز خيابان سلمان فارسي-جنب نانوايي لواشي-پلاک 9991..</t>
  </si>
  <si>
    <t>08633256626</t>
  </si>
  <si>
    <t>نعمت اله آدينه(اراک2)</t>
  </si>
  <si>
    <t>خيابان دکتر بهشتي پاساژ دکتر جلالي-طبقه همکف</t>
  </si>
  <si>
    <t>08632224458</t>
  </si>
  <si>
    <t>ساوه آقاي مجدي</t>
  </si>
  <si>
    <t>ساوه</t>
  </si>
  <si>
    <t>ساوه خيابان هلالي جنب بانك تجارت-تكنو چرخ بهرام</t>
  </si>
  <si>
    <t>08642211770</t>
  </si>
  <si>
    <t>پوراحمدي رضا - ساوه</t>
  </si>
  <si>
    <t>ساوه 
خيابان انقلاب نمايندگي كاچيران 
آقاي پوراحمدي  -</t>
  </si>
  <si>
    <t>08642227264</t>
  </si>
  <si>
    <t>قدس سکينه - محلات</t>
  </si>
  <si>
    <t>محلات</t>
  </si>
  <si>
    <t>اصفهان - شهرستان محلات
خيابان امام خميني سه راه جمهوري روبروي بانك ملت 
مركز خدمات كاچيران خانم قدس  -</t>
  </si>
  <si>
    <t>08632222896</t>
  </si>
  <si>
    <t>بندرعباس هارون جنگجو</t>
  </si>
  <si>
    <t>بندر عباس</t>
  </si>
  <si>
    <t>بندرعباس خيابان برق بين چهارراه مرادي و ميدان قدس فروشگاه هارون خدمات كاچيران -</t>
  </si>
  <si>
    <t>07632248330</t>
  </si>
  <si>
    <t>به جان عسگريان - بندرعباس</t>
  </si>
  <si>
    <t>بندرعباس ميدان بلوكي بازار زيتون پلاك51 نمايندگي كاچيران  
 خانم عسگريان  -</t>
  </si>
  <si>
    <t>07632223360</t>
  </si>
  <si>
    <t>بندر عباس آقاي جنگجو</t>
  </si>
  <si>
    <t>بندرعباس</t>
  </si>
  <si>
    <t>بندر عباس 1 آقاي جنگجو     خيابان برق ،نرسيده به فلكه قدس ،فروشگاه قدس</t>
  </si>
  <si>
    <t>07632221707</t>
  </si>
  <si>
    <t>مسعودرحيم پور(بندركنگ)</t>
  </si>
  <si>
    <t>بندركنگ</t>
  </si>
  <si>
    <t>استان هرمزگان-بندر لنگه-بندركنگ خ امام نبش ميدان 22 بعمن</t>
  </si>
  <si>
    <t>07644231299</t>
  </si>
  <si>
    <t>تويسركان-نقيئي</t>
  </si>
  <si>
    <t>همدان</t>
  </si>
  <si>
    <t>تويسرکان</t>
  </si>
  <si>
    <t>تويسركان(استان همدان) خيابان شهيد باهنر پاساژ ملت طبقه زيرين فروشگاه چرخ خياطي نقيئي مركز خدمات كاچيران -</t>
  </si>
  <si>
    <t>8134926826</t>
  </si>
  <si>
    <t>درايش - تحت پوشش ملاير</t>
  </si>
  <si>
    <t>ملاير</t>
  </si>
  <si>
    <t>ملاير ابتداي خيابان سعدي نبش علي ياري</t>
  </si>
  <si>
    <t>08132212848</t>
  </si>
  <si>
    <t>سيراوند -نهاوند</t>
  </si>
  <si>
    <t>نهاوند</t>
  </si>
  <si>
    <t>همدان - شهرستان نهاوند 
خيابان آزادگان جنب استخر خسروي ساختمان لاهوت طبقه 4 آموزشگاه صبا 
مركز خدمات كاچيران خانم آذر سيرواند -</t>
  </si>
  <si>
    <t>08133242497</t>
  </si>
  <si>
    <t>خانم کاظمي- همدان</t>
  </si>
  <si>
    <t>همدان-خيابان بوعلي سر پل يخچال پلاک 95 آموزشگاه ايران</t>
  </si>
  <si>
    <t>08132512921</t>
  </si>
  <si>
    <t>درايش- سهيل</t>
  </si>
  <si>
    <t xml:space="preserve">همدان - آرامگاه بوعلي - پاساژ تماشا-  مرکز پخش و نمايندگي کاچيران آقاي درايش 
</t>
  </si>
  <si>
    <t>8132525644 0</t>
  </si>
  <si>
    <t>نمايندگي کاچيران - وحيدرضا درايش</t>
  </si>
  <si>
    <t>همدان - آرامگاه بوعلي - پاساژ تماشا-  مرکز پخش و نمايندگي کاچيران آقاي درايش</t>
  </si>
  <si>
    <t>08132525644</t>
  </si>
  <si>
    <t>اسدي بمانعلي - يزد</t>
  </si>
  <si>
    <t>يزد</t>
  </si>
  <si>
    <t>يزد
بلوار 22بهمن فروشگاه چرخ گردون نمايندگي كاچيران  
آقاي اسدي   -</t>
  </si>
  <si>
    <t>03537248850</t>
  </si>
  <si>
    <t>يزد آقاي حسني مقدم</t>
  </si>
  <si>
    <t>يزد
بلوار باهنر فرشگاه ساحل  نمايندگي 3 كاچيران  
آقاي حسني مقدم  -</t>
  </si>
  <si>
    <t>03537241701-2</t>
  </si>
  <si>
    <t>هادي حسن نيا- نمايندگي 2 يزد</t>
  </si>
  <si>
    <t>يزد خيابان رجايي رستوران ياس</t>
  </si>
  <si>
    <t>035336261699</t>
  </si>
  <si>
    <t>فتاحي - اردکان يزد</t>
  </si>
  <si>
    <t>اردکان</t>
  </si>
  <si>
    <t>يزد - اردکان-خيابان مصطفي  خميني - روبروي حسيني دوطفلان - آقاي فتاحي</t>
  </si>
  <si>
    <t>03537220789</t>
  </si>
  <si>
    <t>تقوي-طبس</t>
  </si>
  <si>
    <t>طبس</t>
  </si>
  <si>
    <t>طبس-خيابان امام- بالاتر از اداره اوقاف- فروشگاه تقوي- آقاي تقوي-</t>
  </si>
  <si>
    <t>مهريز يزد-زارع بيدكي</t>
  </si>
  <si>
    <t>مهريز</t>
  </si>
  <si>
    <t>مهريز يزد - خيابان شهيد مطهري-جنب اداره فرهنگ و ارشاد اسلامي خدمات چرخ خياطي كاچيران-آقاي زارع بيدكي -</t>
  </si>
  <si>
    <t>03532527810</t>
  </si>
  <si>
    <t>آقايي ميبدي</t>
  </si>
  <si>
    <t>ميبد</t>
  </si>
  <si>
    <t>يزد - شهرستان ميبد
خيابان امام خميني جنب بانك ملت مركزي 
نمايندگي كاچيران آقاي آقايي  -</t>
  </si>
  <si>
    <t>03532327848</t>
  </si>
  <si>
    <t>کاچیران</t>
  </si>
  <si>
    <t>علی غلامی</t>
  </si>
  <si>
    <t>امیر موذن</t>
  </si>
  <si>
    <t>حبیب رستمی</t>
  </si>
  <si>
    <t>چاووشی</t>
  </si>
  <si>
    <t>نجمی</t>
  </si>
  <si>
    <t>محمد وهابی</t>
  </si>
  <si>
    <t xml:space="preserve">علي اکبر سلطاني                         </t>
  </si>
  <si>
    <t>سعید بهتاج</t>
  </si>
  <si>
    <t xml:space="preserve">حسن باهنگ                               </t>
  </si>
  <si>
    <t>حسین آجرلو</t>
  </si>
  <si>
    <t>حسان</t>
  </si>
  <si>
    <t>رضاپور</t>
  </si>
  <si>
    <t>اکبر رفیعی</t>
  </si>
  <si>
    <t xml:space="preserve">عبداله حاج ايراني                       </t>
  </si>
  <si>
    <t xml:space="preserve">مجيد قرباني(فروشگاه فروز)               </t>
  </si>
  <si>
    <t xml:space="preserve">كرباسي محمد ابراهيم                     </t>
  </si>
  <si>
    <t xml:space="preserve">شرکت پيشروپارسيان                       </t>
  </si>
  <si>
    <t xml:space="preserve">رضاييان  محمدرضا                        </t>
  </si>
  <si>
    <t xml:space="preserve">شركت تعاوني  لوازم  خانگي  همدان        </t>
  </si>
  <si>
    <t>عرب نژاد</t>
  </si>
  <si>
    <t xml:space="preserve">مجيد ماني                               </t>
  </si>
  <si>
    <t xml:space="preserve">جواد چيني                               </t>
  </si>
  <si>
    <t>نبوی</t>
  </si>
  <si>
    <t>عبدالوهاب صالح</t>
  </si>
  <si>
    <t>مالکی</t>
  </si>
  <si>
    <t xml:space="preserve">منتي داود  منوچهر                       </t>
  </si>
  <si>
    <t xml:space="preserve">عباس شمس                                </t>
  </si>
  <si>
    <t>موسوی</t>
  </si>
  <si>
    <t xml:space="preserve">حميد زارعي                              </t>
  </si>
  <si>
    <t>نیساری</t>
  </si>
  <si>
    <t xml:space="preserve">نگهدار دوراهکي(فروشگاه دوراهکي)         </t>
  </si>
  <si>
    <t xml:space="preserve">محمود شفيقيان- فروشگاه  زهره            </t>
  </si>
  <si>
    <t xml:space="preserve">علي اکبراصفهاني                         </t>
  </si>
  <si>
    <t xml:space="preserve">طيبه بردستاني                           </t>
  </si>
  <si>
    <t xml:space="preserve">برزو لک (لوازم خانگي محمد)              </t>
  </si>
  <si>
    <t xml:space="preserve">محمدپور فروشگاه  محمد پور               </t>
  </si>
  <si>
    <t>رحیمیان</t>
  </si>
  <si>
    <t xml:space="preserve">هادي امامقلي                            </t>
  </si>
  <si>
    <t>حمید دیبای کازرونی</t>
  </si>
  <si>
    <t xml:space="preserve">احمد منوچهري                            </t>
  </si>
  <si>
    <t>مجید اطهری</t>
  </si>
  <si>
    <t>قراخانی</t>
  </si>
  <si>
    <t>مجید شهروز</t>
  </si>
  <si>
    <t xml:space="preserve">تعاوني  نفت  وگازوالكتريك  تهران        </t>
  </si>
  <si>
    <t>فلاح زاده</t>
  </si>
  <si>
    <t>داوود آبادی</t>
  </si>
  <si>
    <t xml:space="preserve">مجيدسفيداني                             </t>
  </si>
  <si>
    <t>کمیلیان</t>
  </si>
  <si>
    <t>امیر کیوانی</t>
  </si>
  <si>
    <t xml:space="preserve">پرويز اجودي                             </t>
  </si>
  <si>
    <t xml:space="preserve">رحماني                                  </t>
  </si>
  <si>
    <t xml:space="preserve">اميد جلالي                              </t>
  </si>
  <si>
    <t xml:space="preserve">محمدرضا ميرزائي(ف دنياي کالا)           </t>
  </si>
  <si>
    <t xml:space="preserve">مهدي مسيحي                              </t>
  </si>
  <si>
    <t xml:space="preserve">احمدعلي بيژني ميرزا                     </t>
  </si>
  <si>
    <t xml:space="preserve">حسن کاشاني(فروشگاه کاشاني)              </t>
  </si>
  <si>
    <t xml:space="preserve">سينا شفيعي                              </t>
  </si>
  <si>
    <t xml:space="preserve">لوازم  خانگي  آقاي  محسن  خطيبي         </t>
  </si>
  <si>
    <t>اسحاقی</t>
  </si>
  <si>
    <t xml:space="preserve">کوروش بستار                             </t>
  </si>
  <si>
    <t xml:space="preserve">سيروس رفيعي سنقري                       </t>
  </si>
  <si>
    <t>تهران- خ ری- نرسیده به سه راه امین حضور- جنب بانک اقتصاد نوین- پ676- فروشگاه سینا- کد پستی: 1118938513</t>
  </si>
  <si>
    <t>تهران- سه راه امین حضور- نرسیده به چهارراه سرچشمه- جنب پاساژ خلیج فارس- ک جاویدی- ک قوام الحضور- پ4- واحد9-ط3</t>
  </si>
  <si>
    <t xml:space="preserve">تهران- سه راه امین حضور- پاساژ میرزا محمود وزیر- طبقه زیرزمین- پ2- کدپستی: </t>
  </si>
  <si>
    <t>قم- صندوق پستی: 161-37155</t>
  </si>
  <si>
    <t>کرمان-میدان آزادی- خ 24آذر- نبش کوچه44-تابلو بازرگانی برادران نجمی</t>
  </si>
  <si>
    <t>تهران- خ ری- بعد از آبشار- نبش انبار ایران ری- پ731- کد پستی: 1171613631</t>
  </si>
  <si>
    <t>شیراز-دروازه کازرون- ایتدای قاانی جنوبی-بازرگانی رحیمی و سلطانی</t>
  </si>
  <si>
    <t>رشت- بلوار شهید انصاری- روبروی اداره برق منطقه یک- شرکت شاهین کالا- کد پستی: 4163963535</t>
  </si>
  <si>
    <t>سیستان و بلوچستان- شهرستان سراوان-مهرستان( زابلی)-بلوار جمهوری-فروشگاه لوازم خانگی حسن پاهنگ</t>
  </si>
  <si>
    <t>کرج-جاده ملارد-500متر پایینتر از نیروگاه-روبروی مرغ مادر-جنب نمایشگاه اتومبیل وزیری-پخش لوازم خانگی آجرلو</t>
  </si>
  <si>
    <t>بندرعباس- فلکه بلوکی-روبروی مجتمع تجاری زیتون-فروشگاه لوازم خانگی عبداله حسان</t>
  </si>
  <si>
    <t>بابل- بازار- سه راه سنگ پل- فروشگاه رضا پور- کد پستی: 4713883136</t>
  </si>
  <si>
    <t>تهران- خ هلال احمر- عباسی شمالی- خ شهید محمود اسکندری(راهپیما)- پلاک 171- خانه ال جی</t>
  </si>
  <si>
    <t>جزیره قشم-روستای طبل- جاده اصلی-روبروی دفتر ثبت ازدواج - فروشگاه لوازم خانگی نوید</t>
  </si>
  <si>
    <t>رشت- خیابان بحرالعلوم- زیر بازار رضا- فروشگاه لوازم خانگی فروز- کد پستی:4136615739</t>
  </si>
  <si>
    <t>بابل- خيابان بازار- روبروي مجتمع ملك التجار- فروشگاه طهماسبي( کرباسی)- کد پستی: 4713814636</t>
  </si>
  <si>
    <t xml:space="preserve"> تهران-خ کارگر شمالی-بالاتر از جلال آل احمد- نبش خ دهم-ساختمان امیر-پلاک1917-طبقه یازدهم -شرکت تامین تجهیز پیشرو پارسیان</t>
  </si>
  <si>
    <t>کرج- خ شهید صدوقی(ساسانی سابق)- بعد از مسجد صاحب الزمان- فروشگاه مهتاب(ال جی)- کد پستی:78356-31577</t>
  </si>
  <si>
    <t>همدان-خ 17شهریور-گاراژ الوند- دفتر تعاونی لوازم خانگی همدان</t>
  </si>
  <si>
    <t>بوشهر-شهرستان کنگان-خیابان وحدت-روبروی بانک ملی-لوازم خانگی عرب نژاد</t>
  </si>
  <si>
    <t>استان فارس- شهرستان لارستان-شهر قدیم-سه راه گردان( هنگ ژاندارمری)-لوازم خانگی مانی</t>
  </si>
  <si>
    <t>بوشهر-خ لیان-فروشگاه لوازم خانگی چینی</t>
  </si>
  <si>
    <t>بوشهر-خ انقلاب-جنب بانک ملت-فروشگاه نبوی</t>
  </si>
  <si>
    <t>نهاوند- چهارراه آزادگان - تقاطع حافظ - فروشگاه ال جی- کد پستی:36167-65917</t>
  </si>
  <si>
    <t>جاده ساوه-سه راه آدران-پلاک255-فروشگاه سامسونگ-آقای مالکی</t>
  </si>
  <si>
    <t>خرم اباد-ابتدای خیابان جلال آل احمد-جنب داروخانه سلامت-فروشگاه لوازم خانگی گلچین-آقای منوچهر منتی</t>
  </si>
  <si>
    <t>استان فارس- شهرستان لامرد-خیابان 15 خرداد-لوازم خانگی شمس</t>
  </si>
  <si>
    <t>تهران-خیابان آزادی-خیابان جیحون-بعد از چهارراه شهید بهنود-سمت چپ-نبش کوچه سهیل-پ747</t>
  </si>
  <si>
    <t>تهران- خ اختیاریه جنوبی- ضلع جنوب میدان اختیاریه- پلاک 292- فروشگاه نیساری- کد پستی: 195989565</t>
  </si>
  <si>
    <t>بوشهر-بندر کنگان-خیابان وحدت-جنب بانک ملی مرکزی-لوازم خانگی دو راهکی</t>
  </si>
  <si>
    <t>ساري- خيابان 18 دي- فروشگاه زهره- کد پستی:  36398-48176</t>
  </si>
  <si>
    <t xml:space="preserve">ساري- بلوار طالقاني- سه راه معلم-فروشگاه لوازم خانگي اصفهاني- کد پستی: </t>
  </si>
  <si>
    <t>بوشهر-بندر دیر-بلوار شهید بهشتی-چهار راه شهداء-لوازم خانگی بردستانی-آقای قاسم بردستانی</t>
  </si>
  <si>
    <t>استان لرستان- شهرستان درود-خیابان امام خمینی-نرسیده به پل وحدت-جنب موسسه مالی و اعتباری ارمان-فروشگاه لوازم خانگی محمد</t>
  </si>
  <si>
    <t>فارس- شهرستان گراش- خ امام خمینی- لوازم خانگي محمدپور</t>
  </si>
  <si>
    <t>فارس- لامرد-دهستان سیگار-لوازم خانگی  رحیمیان-آقای محمد دهدار</t>
  </si>
  <si>
    <t>دماوند- گیلاوند- بلوار شهید بهشتی- فروشگاه کنوود- بین بانکهای پارسیان و سپه- کد پستی: 3971947969</t>
  </si>
  <si>
    <t>الیگودرز- خیابان طالقانی شمالی- فروشگاه دیبا- نمایندگی ال جی- کد پستی: 6861733646</t>
  </si>
  <si>
    <t>بندرعباس- میدان بلوکی-  روبروی بازار زیتون - لوازم خانگی منوچهری- کد پستی: 7913947577</t>
  </si>
  <si>
    <t>خراسان رضوی – مشهد – خ توحید –توحید 11 – رضوی 14 – پ 5 – واحد 2 – آقای اطهری</t>
  </si>
  <si>
    <t>اصفهان- خ سيمين- خ باغ زيار- پلاک 55- فروشگاه پارس- کد پ8177767644 - آقای قراخانی</t>
  </si>
  <si>
    <t>خوزستان – دزفول – خ امام – نبش چهاراه شریعتی – فروشگاه برادران شهروز</t>
  </si>
  <si>
    <t xml:space="preserve"> تهران ـ خیابان جمهوری ـ ساختمان آلومینیوم ـ طبقه دهم جنوبی ـ شرکت تعاونی نفت وگاز شماره 1045و1035 </t>
  </si>
  <si>
    <t>یزد خ شهید رجایی اول کوچه هاشم خان فروشگاه فلاح زاده</t>
  </si>
  <si>
    <t>مرکزی - اراک - خ محسني - چهارسوق بازار – جنب پاساژ سعادت - لوازم خانگي داود آبادي</t>
  </si>
  <si>
    <t>تبريز- خ بهار - اره گر - بازرگانی سفیدانی</t>
  </si>
  <si>
    <t>اصفهان – کاشان – دروازه دولت – اول خ افضل – فروشگاه لوازم خانگی – آقای کمیلیان</t>
  </si>
  <si>
    <t>قزوین – خ مولوی – مقابل بازار – جنب ک دیمج – فروشگاه کیوانی</t>
  </si>
  <si>
    <t xml:space="preserve"> اردبیل – باغمیشه – روبروی دبیرستان دخترانه بهار – فروشگاه لوازم خانگی – آقای اجودی</t>
  </si>
  <si>
    <t>سمنان – میدان سعدی – بلوار مولوی – تعاونی 15 خرداد سمنان</t>
  </si>
  <si>
    <t>خوزستان - حمیدیه - خ امام - روبروی بانک ملی و صادرات - فروشگاه لوازم خانگی (المهدی)</t>
  </si>
  <si>
    <t>خوزستان – اهواز – خ کاوه – نبش مسلم – پ 22 آقای میرزایی - ت 2235987</t>
  </si>
  <si>
    <t>مرکزی - محلات - خ 15 خرداد - کوی دکتر حداد - نبش کوچه دوم - سمت راست</t>
  </si>
  <si>
    <t>کرمانشاه – میدان غدیر – خ اشک تلخ – فروشگاه لوازم خانگی بیژنی</t>
  </si>
  <si>
    <t>مرکزی - ساوه - خ انقلاب - فروشگاه کاشانی</t>
  </si>
  <si>
    <t>خوزستان - آبادان - احمدآباد - 12 فرعی - نبش 4 اصلی</t>
  </si>
  <si>
    <t xml:space="preserve"> مهاباد ـ خيابان طالقاني ـ پاساژ شريف زاده ـ فروشگاه لوازم خانگي </t>
  </si>
  <si>
    <t>مرکزی – اراک – میدان سردشت – بالاتر از ایران خودرو – جنب بانک ملت - گاراژ راجعی – آقای اسحاقی</t>
  </si>
  <si>
    <t>کرمانشاه - قصرشیرین - سه راه مدرس - فروشگاه بستار</t>
  </si>
  <si>
    <t>کرمانشاه – اسلام آباد غرب – خ طالقانی – روبروی مدرسه هاجر – فروشگاه مهدی – آقای رفیعی</t>
  </si>
  <si>
    <t>33518416-17</t>
  </si>
  <si>
    <t>33560715-353</t>
  </si>
  <si>
    <t>025-36615035</t>
  </si>
  <si>
    <t>034-32 45 43 45</t>
  </si>
  <si>
    <t>071-3738 39 03</t>
  </si>
  <si>
    <t>013-33750088-99</t>
  </si>
  <si>
    <t>054-37 72 36 12</t>
  </si>
  <si>
    <t>076-32 24 59 09</t>
  </si>
  <si>
    <t>011-32322312</t>
  </si>
  <si>
    <t>55411139-40-50</t>
  </si>
  <si>
    <t>076-35 33 74 51</t>
  </si>
  <si>
    <t>013-33243101</t>
  </si>
  <si>
    <t>011-32224002</t>
  </si>
  <si>
    <t>88335804-6</t>
  </si>
  <si>
    <t>026-32801587</t>
  </si>
  <si>
    <t>081-326 66 044</t>
  </si>
  <si>
    <t>077-37 22 24 23</t>
  </si>
  <si>
    <t>071-5234 37 92</t>
  </si>
  <si>
    <t>077-33 32 25 67</t>
  </si>
  <si>
    <t>077-33 32 27 54</t>
  </si>
  <si>
    <t>081- 33221510</t>
  </si>
  <si>
    <t>56 86 83 86</t>
  </si>
  <si>
    <t>066-33 22 14 48</t>
  </si>
  <si>
    <t>071-52 72 38 20</t>
  </si>
  <si>
    <t>66 015 504-5</t>
  </si>
  <si>
    <t>077-37  22 33 53</t>
  </si>
  <si>
    <t>011- 33243411</t>
  </si>
  <si>
    <t>011- 33208552-3</t>
  </si>
  <si>
    <t>077-354 22 513</t>
  </si>
  <si>
    <t>066-43 22 48 48</t>
  </si>
  <si>
    <t>071-52 44 22 17</t>
  </si>
  <si>
    <t>071-52 75 3900</t>
  </si>
  <si>
    <t>066-43327212</t>
  </si>
  <si>
    <t>076-32 22 61 24</t>
  </si>
  <si>
    <t>فیلور</t>
  </si>
  <si>
    <t>تهران،میدان آرژانتین،خیابن الوند،نبش خیابان سی و سوم،ساختمان سینجر</t>
  </si>
  <si>
    <t>برندشاپ شماره 1:تهران،خیابان امین حضور،پاساژ خلیج فارس،طبقه همکف فروشگاه سینجر وکندی</t>
  </si>
  <si>
    <t>برندشاپ شماره 2:تهران،خیابان امین حضور،پاساژ خلیج فارس،طبقه همکف فروشگاه سینجر وکندی</t>
  </si>
  <si>
    <t>021-88202856-9</t>
  </si>
  <si>
    <t>021-33546097</t>
  </si>
  <si>
    <t>021-33562790</t>
  </si>
  <si>
    <t>فروشگاه سینجر وکندی</t>
  </si>
  <si>
    <t>ساختمان سینجر</t>
  </si>
  <si>
    <t>سینجر</t>
  </si>
  <si>
    <t>محمد تلخونی</t>
  </si>
  <si>
    <t>ناصر حدادی</t>
  </si>
  <si>
    <t>نادر خاکپور ملکی</t>
  </si>
  <si>
    <t>داریوش ناصری</t>
  </si>
  <si>
    <t>حاجعلی قربانی جمال آباد</t>
  </si>
  <si>
    <t>نزاکت</t>
  </si>
  <si>
    <t>احمد محمدی فتح آباد</t>
  </si>
  <si>
    <t>علی حسن بگلو</t>
  </si>
  <si>
    <t>معصوم برادران</t>
  </si>
  <si>
    <t xml:space="preserve"> مير كريم موسوي داراوغلو</t>
  </si>
  <si>
    <t>فتاح مشیری</t>
  </si>
  <si>
    <t>رحيم پور جبّار</t>
  </si>
  <si>
    <t>حسین قربانی</t>
  </si>
  <si>
    <t>سلطانی-معروفی</t>
  </si>
  <si>
    <t>الماس بدیر انتقال</t>
  </si>
  <si>
    <t xml:space="preserve">غلامرضا مهدی </t>
  </si>
  <si>
    <t>جواد کتابچی</t>
  </si>
  <si>
    <t>علی محمد سلامی</t>
  </si>
  <si>
    <t xml:space="preserve"> اکبر پویانسب</t>
  </si>
  <si>
    <t>ظهرابی</t>
  </si>
  <si>
    <t>مرتضی میر خوند چگینی
محمد نیک بخت مقدم</t>
  </si>
  <si>
    <t xml:space="preserve">خسروی </t>
  </si>
  <si>
    <t>اصغر اسفندیار</t>
  </si>
  <si>
    <t>محب علی همتی</t>
  </si>
  <si>
    <t>هادی امامقلی</t>
  </si>
  <si>
    <t>محسن   علی سنگچی</t>
  </si>
  <si>
    <t>مجيد اطهري</t>
  </si>
  <si>
    <t>سید سعید سید موسوی</t>
  </si>
  <si>
    <t>عبدالغفور پشم فروش</t>
  </si>
  <si>
    <t>شیرزاد مکارمی مقدم</t>
  </si>
  <si>
    <t>عبدالحسین مسموع</t>
  </si>
  <si>
    <t xml:space="preserve"> کاظم خندانی </t>
  </si>
  <si>
    <t>محمد میرعباسی</t>
  </si>
  <si>
    <t>محمدرضا روغنییان</t>
  </si>
  <si>
    <t>محمد علي صالحه</t>
  </si>
  <si>
    <t xml:space="preserve"> سلام زماني</t>
  </si>
  <si>
    <t>غلامعلي توكلي</t>
  </si>
  <si>
    <t>ابوالفضل باقری</t>
  </si>
  <si>
    <t>حسین آشتیانی</t>
  </si>
  <si>
    <t>شعبانعلی حمزه ای</t>
  </si>
  <si>
    <t>مهدی معینی پور(غفاری)
(کیان کالا)</t>
  </si>
  <si>
    <t>غلامرضا بذرپاچ</t>
  </si>
  <si>
    <t xml:space="preserve"> فرشاد شمس </t>
  </si>
  <si>
    <t xml:space="preserve">هادی غفوری </t>
  </si>
  <si>
    <t>ابراهیم مجیدی</t>
  </si>
  <si>
    <t xml:space="preserve">عطاءاله صالحي </t>
  </si>
  <si>
    <t>عباس نجمی نژاد</t>
  </si>
  <si>
    <t>سعید کاظمی</t>
  </si>
  <si>
    <t>کریم زرهون</t>
  </si>
  <si>
    <t>غلامحسین اصاغر</t>
  </si>
  <si>
    <t>حالت قلی شیر محمد لی</t>
  </si>
  <si>
    <t>عجم-عبداله</t>
  </si>
  <si>
    <t>یوسفی-علیزاده</t>
  </si>
  <si>
    <t>فریدون گراوند</t>
  </si>
  <si>
    <t>نورالدین نادی</t>
  </si>
  <si>
    <t>پارسیان پخش</t>
  </si>
  <si>
    <t>مهریار لطفي نجف آبادي</t>
  </si>
  <si>
    <t>محمود اسحاقی</t>
  </si>
  <si>
    <t>پارسائیان-داود آبادی</t>
  </si>
  <si>
    <t>جمال زيوري</t>
  </si>
  <si>
    <t>مهدی جهانیان</t>
  </si>
  <si>
    <t>اکبری</t>
  </si>
  <si>
    <t>محمد حسین حداد</t>
  </si>
  <si>
    <t>تبریز</t>
  </si>
  <si>
    <t>شاهین دژ</t>
  </si>
  <si>
    <t>ارومیه</t>
  </si>
  <si>
    <t>شوط ماکو</t>
  </si>
  <si>
    <t>اردبیل</t>
  </si>
  <si>
    <t>فیروزکوه</t>
  </si>
  <si>
    <t>گیلاوند</t>
  </si>
  <si>
    <t>پرند</t>
  </si>
  <si>
    <t>نیشابور</t>
  </si>
  <si>
    <t>قزوین</t>
  </si>
  <si>
    <t>نظرآباد</t>
  </si>
  <si>
    <t>گنبد</t>
  </si>
  <si>
    <t>آزادشهر</t>
  </si>
  <si>
    <t xml:space="preserve">رشت </t>
  </si>
  <si>
    <t>تنكابن</t>
  </si>
  <si>
    <t>اراك</t>
  </si>
  <si>
    <t xml:space="preserve">اسدآباد </t>
  </si>
  <si>
    <t>یزد</t>
  </si>
  <si>
    <t xml:space="preserve"> خ قطران شمالی - اول فاطمی     32821114          فکس :  34412959 </t>
  </si>
  <si>
    <t xml:space="preserve"> خ مطهری - فروشگاه حدادی                                                </t>
  </si>
  <si>
    <t xml:space="preserve"> خ امام - نبش خ آزادی - لوازم خانگی گل بیز       0718500 - 0937 </t>
  </si>
  <si>
    <t xml:space="preserve"> خ امام - ابتدای نوباشی - جهیزیه سرای ناصری </t>
  </si>
  <si>
    <t xml:space="preserve"> خ بعثت - نبش پاساژ بعثت - فروشگاه حسن بگلو   </t>
  </si>
  <si>
    <t xml:space="preserve"> خ بعثت - نبش هتل بعثت - پلاك  117 - فروشگاه الجي   32235171    امير</t>
  </si>
  <si>
    <t xml:space="preserve"> خ بعثت - جنب پاساژ امير - فروشگاه موسوي </t>
  </si>
  <si>
    <t xml:space="preserve"> میدان امام - لوازم خانگي ايران تانش</t>
  </si>
  <si>
    <t xml:space="preserve"> بلوار وليعصر - روبروی ميدان خشكبار - لوازم خانگي پورجبّار</t>
  </si>
  <si>
    <t xml:space="preserve"> روبروی بانک ملی - فروشگاه قربانی</t>
  </si>
  <si>
    <t>امیر آباد-فلکه آزادی-جنب کلانتری 13- لوازم خانگی حلبچه</t>
  </si>
  <si>
    <t xml:space="preserve"> خ مفتح - خاتم النبیین - نبش کوچه شهید یاور معتقد</t>
  </si>
  <si>
    <t xml:space="preserve">خیابان هاتف - کوچه یخچال - روبروی پاساژ مهدی - مجتمع بکو -طبقه اول </t>
  </si>
  <si>
    <t xml:space="preserve"> خ رجایی - مقابل مخابرات</t>
  </si>
  <si>
    <t>خيابان جمهوری - ساختمان آلومینیوم - طبقه نهم</t>
  </si>
  <si>
    <t xml:space="preserve"> خ هلال احمر - چهارراه عباسی - خ شهید ابراهیمی شمالی - سپهر کالا</t>
  </si>
  <si>
    <t>امین حضور</t>
  </si>
  <si>
    <t>تهران-خیابان ری- ایران- بازار بزرگ امیر کبیر- طبقه اول- پلاک 1170</t>
  </si>
  <si>
    <t xml:space="preserve">سه راه امین حضور </t>
  </si>
  <si>
    <t xml:space="preserve"> میدان سپاه - جنب امور مشترکین - فروشگاه اسفندیار</t>
  </si>
  <si>
    <t xml:space="preserve"> خ امام - روبروی خ شریعتی - جنب بانک پارسیان</t>
  </si>
  <si>
    <t xml:space="preserve"> بلوار بهشتی - جنب بانک سپه - فروشگاه پارس خزر</t>
  </si>
  <si>
    <t xml:space="preserve"> شهر جدید پرند - فاز 2 - بلوار ستاره - جنب مسجد امام حسن - پ 8 </t>
  </si>
  <si>
    <t xml:space="preserve"> خ مسیح - خ مژده - جنب دفتر حج و زیارت - دفتر موسوی و شمسائی</t>
  </si>
  <si>
    <t xml:space="preserve"> خ کاوه - نبش سعدی                   آقای شمس                    32211777 </t>
  </si>
  <si>
    <t xml:space="preserve"> خ پیروز - فروشگاه برادران مقدم</t>
  </si>
  <si>
    <t xml:space="preserve"> خ شریعتی - فروشگاه عبدالحسین مسموع                    52838993     </t>
  </si>
  <si>
    <t xml:space="preserve"> خ پیروز - لوازم خانگی میرعباسی</t>
  </si>
  <si>
    <t xml:space="preserve"> خ دکتر بهشتی - لوازم خانگی آریانا</t>
  </si>
  <si>
    <t>چهارراه امام - لوازم خانگي صالحه                                     36224705</t>
  </si>
  <si>
    <t xml:space="preserve"> فلكه قائم - مجتمع تجاري قائم - ط 2 - واحد 201 و ط 3 - واحد 301 </t>
  </si>
  <si>
    <t xml:space="preserve"> خ نادر - چهارراه اصلاح نژاد - جنب بانک صادرات      2 - 32345821</t>
  </si>
  <si>
    <t>خ پیغمبریه- نبش کوچه مدرسه محمد قزوینی</t>
  </si>
  <si>
    <t>انتهای بلوار امین-روبروی بوستان علوی-فروشگاه کیان کالا-کدپستی:3716115841</t>
  </si>
  <si>
    <t xml:space="preserve"> خ انقلاب - میدان شهدا - لوازم خانگی بذرپاچ</t>
  </si>
  <si>
    <t xml:space="preserve"> میدان توحید - پائینتر از بانک سامان - فروشگاه شمس </t>
  </si>
  <si>
    <t xml:space="preserve"> خ طالقانی - لوازم خانگی غفوری</t>
  </si>
  <si>
    <t xml:space="preserve"> میدان انقلاب - بازار والی - فروشگاه کارو</t>
  </si>
  <si>
    <t xml:space="preserve"> خ شهید عبادت - نرسیده به سه راه بهزیستی - فروشگاه صالحی</t>
  </si>
  <si>
    <t xml:space="preserve"> خ 24 آذر -  نبش کوچه 44 - فروشگاه جلالپور     </t>
  </si>
  <si>
    <t xml:space="preserve"> بلوار طالقانی - بعد از سه راه پست - فروشگاه سونی</t>
  </si>
  <si>
    <t xml:space="preserve">خ اشک تلخ - روبروی کوچه معاون الممالک </t>
  </si>
  <si>
    <t xml:space="preserve"> خ شهید بلادیان - نرسیده به چهارراه مسجد صاحب الزمان - فروشگاه ال جی</t>
  </si>
  <si>
    <t xml:space="preserve"> خ امام  شمالی - چهار راه شریعتی - فروشگاه ایران کالا</t>
  </si>
  <si>
    <t>خیابان امام- ولایت یکم-نبش چهار راه-بازرگانی عجم</t>
  </si>
  <si>
    <t>گیلان- رشت-بازار مسجد صفی-پاساژ رضا- طبقه اول-پلاک 66</t>
  </si>
  <si>
    <t>خ گلدشت شرقی- خ کریم خان زند انتهای کوچه کریم خان زند 15 فروشگاه گراوند</t>
  </si>
  <si>
    <t xml:space="preserve"> خ علوی - مقابل بیمه آسیا - فروشگاه نادی</t>
  </si>
  <si>
    <t xml:space="preserve"> خ شیخ فضل اله نوری - پلاک 578                        </t>
  </si>
  <si>
    <t>آدرس پستی: شهرک پرواز- اول خیابان قره نی</t>
  </si>
  <si>
    <t>خيابان امام-مابین سه راه طالقاني و سه راه فردوسی(مقابل مصلی)-فروشگاه لوازم خانگی نزاکت</t>
  </si>
  <si>
    <t>33849291-3</t>
  </si>
  <si>
    <t>35558119
35558290</t>
  </si>
  <si>
    <t>55440820-2</t>
  </si>
  <si>
    <t>55425350 - 51</t>
  </si>
  <si>
    <t>33468230-4</t>
  </si>
  <si>
    <t>32348520-3</t>
  </si>
  <si>
    <t>مسعود</t>
  </si>
  <si>
    <t>32454346-8</t>
  </si>
  <si>
    <t>35722385
35735512-14</t>
  </si>
  <si>
    <t>43141182-4</t>
  </si>
  <si>
    <t xml:space="preserve"> میدان سردشت - بالاتر از ایران خودرو یاراحمدی - جنب بانک ملّت </t>
  </si>
  <si>
    <t xml:space="preserve"> خ فرهنگ - فروشگاه زيوري</t>
  </si>
  <si>
    <t xml:space="preserve"> میدان مرکزی شهر ( ابوذر) - فروشگاه مرکزی باران</t>
  </si>
  <si>
    <t>میدان امام- خ شریعتی- کوچه استر(زنگنه)-پلاک 10-فروشگاه محمد اکبری(تابلو ال جی)</t>
  </si>
  <si>
    <t xml:space="preserve"> خ سلمان فارسی - روبروی کوچه گازرگاه - پلاک 612</t>
  </si>
  <si>
    <t xml:space="preserve"> کریم آباد - ساختمان کیمیا </t>
  </si>
  <si>
    <t>خ شیخ فضل الله نوری-روبروی چهارسوق بازار-جنب پاساژ سعادت-لوازم خانگی پارسائیان</t>
  </si>
  <si>
    <t xml:space="preserve"> خ امام - فلکه قيام - لوازم خانگي محمدي               آقای بهرامی</t>
  </si>
  <si>
    <t xml:space="preserve"> خ توحید - توحید 11 - رضوی 14 - پ5 - واحد 2  (آقای حسینی  6-37137925 )</t>
  </si>
  <si>
    <t xml:space="preserve">بلوار شهید نیاکان - فروشگاه خندانی                        آقاي جوادي </t>
  </si>
  <si>
    <t xml:space="preserve"> خ منتظری جدید - لوازم خانگی فجر        مسعود : 33578288</t>
  </si>
  <si>
    <t xml:space="preserve"> سی متری کیوانفر - نبش خیابان 30 - فروشگاه حمزه ای      خانم كريمي</t>
  </si>
  <si>
    <t>سپهر الکتریک</t>
  </si>
  <si>
    <t>استیل البرز</t>
  </si>
  <si>
    <t>اسنوا</t>
  </si>
  <si>
    <t>الکترواستیل</t>
  </si>
  <si>
    <t xml:space="preserve">آذر شهر </t>
  </si>
  <si>
    <t>اسکو</t>
  </si>
  <si>
    <t xml:space="preserve">بستان آباد </t>
  </si>
  <si>
    <t>چاراویماق</t>
  </si>
  <si>
    <t>ملكان</t>
  </si>
  <si>
    <t>هادي شهر</t>
  </si>
  <si>
    <t>هریس</t>
  </si>
  <si>
    <t>چالدران</t>
  </si>
  <si>
    <t>شاهين دژ</t>
  </si>
  <si>
    <t>قره ضياءالدين</t>
  </si>
  <si>
    <t>بيله سوار</t>
  </si>
  <si>
    <t>گرمي</t>
  </si>
  <si>
    <t>مشكين شهر</t>
  </si>
  <si>
    <t>نمين</t>
  </si>
  <si>
    <t>اردستان</t>
  </si>
  <si>
    <t>پيربكران</t>
  </si>
  <si>
    <t>تيران</t>
  </si>
  <si>
    <t xml:space="preserve">خميني شهر </t>
  </si>
  <si>
    <t>داران</t>
  </si>
  <si>
    <t>دولت آباد</t>
  </si>
  <si>
    <t>زرين شهر</t>
  </si>
  <si>
    <t>زواره</t>
  </si>
  <si>
    <t xml:space="preserve">فريدونشهر </t>
  </si>
  <si>
    <t>فولادشهر</t>
  </si>
  <si>
    <t>قهدريجان</t>
  </si>
  <si>
    <t>كليشاد</t>
  </si>
  <si>
    <t xml:space="preserve">گلپايگان </t>
  </si>
  <si>
    <t>مباركه</t>
  </si>
  <si>
    <t>نائين</t>
  </si>
  <si>
    <t>قزل حصار ملک آباد</t>
  </si>
  <si>
    <t>كرج</t>
  </si>
  <si>
    <t>ايوان</t>
  </si>
  <si>
    <t>سرابله</t>
  </si>
  <si>
    <t>اهرم</t>
  </si>
  <si>
    <t xml:space="preserve">بندردیلم </t>
  </si>
  <si>
    <t>جم</t>
  </si>
  <si>
    <t>ابسرد</t>
  </si>
  <si>
    <t>پرديس</t>
  </si>
  <si>
    <t>رباط كريم</t>
  </si>
  <si>
    <t>شهرري</t>
  </si>
  <si>
    <t>صالح آباد</t>
  </si>
  <si>
    <t xml:space="preserve">اردل </t>
  </si>
  <si>
    <t xml:space="preserve">شلمزار </t>
  </si>
  <si>
    <t xml:space="preserve">فرخشهر </t>
  </si>
  <si>
    <t>بیرجند</t>
  </si>
  <si>
    <t>فردوس</t>
  </si>
  <si>
    <t>قائن</t>
  </si>
  <si>
    <t>آشخانه</t>
  </si>
  <si>
    <t>جاجرم</t>
  </si>
  <si>
    <t>فاروج</t>
  </si>
  <si>
    <t>انديمشك</t>
  </si>
  <si>
    <t>باغملك</t>
  </si>
  <si>
    <t>بندرماهشهر</t>
  </si>
  <si>
    <t>رامهرمز</t>
  </si>
  <si>
    <t>سوسنگرد</t>
  </si>
  <si>
    <t>شادگان</t>
  </si>
  <si>
    <t>شوش و دانيال</t>
  </si>
  <si>
    <t>ماهشهر</t>
  </si>
  <si>
    <t>آب بر</t>
  </si>
  <si>
    <t>طارم</t>
  </si>
  <si>
    <t>گنبد سلطانيه</t>
  </si>
  <si>
    <t>سمنان</t>
  </si>
  <si>
    <t>میامی</t>
  </si>
  <si>
    <t>ايرانشهر</t>
  </si>
  <si>
    <t>اقليد</t>
  </si>
  <si>
    <t xml:space="preserve">شیراز </t>
  </si>
  <si>
    <t xml:space="preserve">فسا </t>
  </si>
  <si>
    <t xml:space="preserve">فیروز آباد </t>
  </si>
  <si>
    <t>قيروکارزين</t>
  </si>
  <si>
    <r>
      <t>کوار</t>
    </r>
    <r>
      <rPr>
        <sz val="11"/>
        <color rgb="FF002060"/>
        <rFont val="Times New Roman"/>
        <family val="1"/>
      </rPr>
      <t> </t>
    </r>
  </si>
  <si>
    <t xml:space="preserve">نورآباد </t>
  </si>
  <si>
    <t xml:space="preserve">نی ریز </t>
  </si>
  <si>
    <t>آبيك</t>
  </si>
  <si>
    <t>بوئين زهرا</t>
  </si>
  <si>
    <t>تاکستان</t>
  </si>
  <si>
    <t>ارزوييه</t>
  </si>
  <si>
    <t xml:space="preserve">بافت </t>
  </si>
  <si>
    <t xml:space="preserve">بردسير </t>
  </si>
  <si>
    <t>شهربابك</t>
  </si>
  <si>
    <t xml:space="preserve">عنبر آباد </t>
  </si>
  <si>
    <t>اسلام آباد غرب</t>
  </si>
  <si>
    <t>پاوه</t>
  </si>
  <si>
    <t>روانسر</t>
  </si>
  <si>
    <t>سرپل ذهاب</t>
  </si>
  <si>
    <t>قصر شيرين</t>
  </si>
  <si>
    <t xml:space="preserve">کرمانشاه </t>
  </si>
  <si>
    <t>یاسوج</t>
  </si>
  <si>
    <t>بندر گز</t>
  </si>
  <si>
    <t>خان ببين</t>
  </si>
  <si>
    <t>علی آباد کتول</t>
  </si>
  <si>
    <t>كردكوي</t>
  </si>
  <si>
    <t>كلاله</t>
  </si>
  <si>
    <t>مينودشت</t>
  </si>
  <si>
    <t xml:space="preserve">انزلی </t>
  </si>
  <si>
    <t>خمام</t>
  </si>
  <si>
    <t>رودبارومنجيل</t>
  </si>
  <si>
    <t>صومعه سرا</t>
  </si>
  <si>
    <t xml:space="preserve">فومن </t>
  </si>
  <si>
    <t xml:space="preserve">کوچصفهان </t>
  </si>
  <si>
    <t xml:space="preserve">لنگرود </t>
  </si>
  <si>
    <t>لوشان</t>
  </si>
  <si>
    <t xml:space="preserve">ماسال شاندرمن </t>
  </si>
  <si>
    <t>ازنا</t>
  </si>
  <si>
    <t>اليگودرز</t>
  </si>
  <si>
    <t>پلدختر</t>
  </si>
  <si>
    <t>درود</t>
  </si>
  <si>
    <t>معمولان</t>
  </si>
  <si>
    <t xml:space="preserve">بابل </t>
  </si>
  <si>
    <t xml:space="preserve">بابلسر </t>
  </si>
  <si>
    <t xml:space="preserve">چالوس </t>
  </si>
  <si>
    <t>چمستان</t>
  </si>
  <si>
    <t>سوادكوه</t>
  </si>
  <si>
    <t>فريدونكنار</t>
  </si>
  <si>
    <t>قائم شهر</t>
  </si>
  <si>
    <t>محمودآباد</t>
  </si>
  <si>
    <t>آشتيان</t>
  </si>
  <si>
    <t>تفرش</t>
  </si>
  <si>
    <t>خمين</t>
  </si>
  <si>
    <t>خنداب</t>
  </si>
  <si>
    <t>دليجان</t>
  </si>
  <si>
    <t>فرمهين</t>
  </si>
  <si>
    <t>کميجان</t>
  </si>
  <si>
    <t>مهاجران</t>
  </si>
  <si>
    <t>اسدآباد</t>
  </si>
  <si>
    <t>رزن</t>
  </si>
  <si>
    <t>قهاوند</t>
  </si>
  <si>
    <t>کبودر آهنگ</t>
  </si>
  <si>
    <t>لالجين</t>
  </si>
  <si>
    <t xml:space="preserve">ابركوه </t>
  </si>
  <si>
    <t>اردكان</t>
  </si>
  <si>
    <t>در حال تکمیل</t>
  </si>
  <si>
    <t xml:space="preserve">حسن طالبی راد </t>
  </si>
  <si>
    <t>رسول رفيعي اسکوئي</t>
  </si>
  <si>
    <t>امیر هوشنگی</t>
  </si>
  <si>
    <t>سعيد يادآوري</t>
  </si>
  <si>
    <t>محمدرضا سلامي اسنجان</t>
  </si>
  <si>
    <t>ناصر نادري مارالاني</t>
  </si>
  <si>
    <t xml:space="preserve">محمد محمودی </t>
  </si>
  <si>
    <t>محمد رضا هوشمند</t>
  </si>
  <si>
    <t>حبیب داعی</t>
  </si>
  <si>
    <t>محمدرضا عقابي باسمنج</t>
  </si>
  <si>
    <t>فروشگاه تاك تبریز</t>
  </si>
  <si>
    <t xml:space="preserve">روح الله جعفری </t>
  </si>
  <si>
    <t>جعفر جوادي</t>
  </si>
  <si>
    <t>حميد خليل زاده</t>
  </si>
  <si>
    <t>خليل ردادي</t>
  </si>
  <si>
    <t>امیر مرادپور</t>
  </si>
  <si>
    <t>حسن شريفي</t>
  </si>
  <si>
    <t>رضا سعید آبادی</t>
  </si>
  <si>
    <t>عليرضا فتحي</t>
  </si>
  <si>
    <t>موسي عينكي</t>
  </si>
  <si>
    <t>هادي پوراكبر</t>
  </si>
  <si>
    <t>مهدي شولاني</t>
  </si>
  <si>
    <t>جعفر صادق احمدي اقدم</t>
  </si>
  <si>
    <t>عادل سلیم پور</t>
  </si>
  <si>
    <t>علی پور ساعدی نعمتی</t>
  </si>
  <si>
    <t>فروشگاه تاك ارومیه</t>
  </si>
  <si>
    <t>علي حسن پور</t>
  </si>
  <si>
    <t>حميد تسوجي اصل</t>
  </si>
  <si>
    <t>/امان پور حسين زاده</t>
  </si>
  <si>
    <t>ياس نوين پارسه - پيرانشهر</t>
  </si>
  <si>
    <t>شرکت تعاوني عشايري پيرانشهر</t>
  </si>
  <si>
    <t>جعفر گوهر نيا</t>
  </si>
  <si>
    <t>علي وليزاده</t>
  </si>
  <si>
    <t>معصومه وطن  خواه</t>
  </si>
  <si>
    <t>احمد محمدی فتح آبادی</t>
  </si>
  <si>
    <t>شهباز حسن زاده</t>
  </si>
  <si>
    <t>فرهاد صفري</t>
  </si>
  <si>
    <t>اسماعيل حمزه لو</t>
  </si>
  <si>
    <t>فرشيد رجب زاده</t>
  </si>
  <si>
    <t>منصور نصرالهي</t>
  </si>
  <si>
    <t>/ اسداله مظفري مهدي فضلعلي پور</t>
  </si>
  <si>
    <t>بهنام تيمورپور</t>
  </si>
  <si>
    <t>عظیم شاهی زارع</t>
  </si>
  <si>
    <t>تعاوني توليدي و توزيعي مه داد کوثر اردبيل</t>
  </si>
  <si>
    <t>جليل بدلي</t>
  </si>
  <si>
    <t>ياس نوين پارسه - اردبيل</t>
  </si>
  <si>
    <t>محمود محمدي</t>
  </si>
  <si>
    <t>فروشگاه تاك اردبيل</t>
  </si>
  <si>
    <t>ولي محمدي</t>
  </si>
  <si>
    <t>ياس نوين پارسه - پارس آباد</t>
  </si>
  <si>
    <t>کاظم کريمي</t>
  </si>
  <si>
    <t>امین کوهی</t>
  </si>
  <si>
    <t>ياس نوين پارسه - خلخال</t>
  </si>
  <si>
    <t>سيد  هوشنگ رضازاده</t>
  </si>
  <si>
    <t>فراهم پاشائي حمزه خانلو</t>
  </si>
  <si>
    <t>كاظم جوادي</t>
  </si>
  <si>
    <t>رقيه شيخي ينگجه</t>
  </si>
  <si>
    <t>داوود ملكي</t>
  </si>
  <si>
    <t>محسن سرتاج</t>
  </si>
  <si>
    <t>عبدالصمد مومني</t>
  </si>
  <si>
    <t>مجيد باباربيع(دراختيار)</t>
  </si>
  <si>
    <t>حميد بروجردپور</t>
  </si>
  <si>
    <t xml:space="preserve">فروشگاه اسمارت اصفهان  </t>
  </si>
  <si>
    <t>مهدي نواب صفوي</t>
  </si>
  <si>
    <t>مهدي جوادي</t>
  </si>
  <si>
    <t>رضا شفيعي سودرجاني</t>
  </si>
  <si>
    <t>فروشگاه تاك اصفهان</t>
  </si>
  <si>
    <t>مجيد باراني</t>
  </si>
  <si>
    <t>فرض الله مختاري</t>
  </si>
  <si>
    <t>امرالله اكبري</t>
  </si>
  <si>
    <t>مصطفي صادقي</t>
  </si>
  <si>
    <t xml:space="preserve">مهدي كريمي </t>
  </si>
  <si>
    <t xml:space="preserve">حميد رضا افشاري </t>
  </si>
  <si>
    <t>جعفر داوري دولت آبادي</t>
  </si>
  <si>
    <t>ام البنين احساني قمشلوئي</t>
  </si>
  <si>
    <t>محمد زانياني ريزي</t>
  </si>
  <si>
    <t>سيد مجتبي آموزگار</t>
  </si>
  <si>
    <t>عليرضا / آرش  سعادت زاده مسجدي</t>
  </si>
  <si>
    <t>مرتضي صلاحيان</t>
  </si>
  <si>
    <t>احمد پيام</t>
  </si>
  <si>
    <t>محمد جعفر ذوالفقاري</t>
  </si>
  <si>
    <t xml:space="preserve">ايمان قلاني </t>
  </si>
  <si>
    <t>مرتضي احمدي</t>
  </si>
  <si>
    <t>عليرضا رهنما</t>
  </si>
  <si>
    <t>محمد رهنما</t>
  </si>
  <si>
    <t>شرکت تعاوني روستايي قهدريجان</t>
  </si>
  <si>
    <t>محمد رضا خرميان</t>
  </si>
  <si>
    <t>سيد حسين امامي کليشادي</t>
  </si>
  <si>
    <t>مهدي عمادي</t>
  </si>
  <si>
    <t>سيد مرتضي هاشمي</t>
  </si>
  <si>
    <t>جواد حق پرست نائيني</t>
  </si>
  <si>
    <t>شرکت تعاوني روستايي قدس</t>
  </si>
  <si>
    <t>مجتبي پورملک نجف آبادي</t>
  </si>
  <si>
    <t>شاه کرم ملایی</t>
  </si>
  <si>
    <t>فروشگاه اسمارت البرز 1</t>
  </si>
  <si>
    <t>روح اله حيدري پرند</t>
  </si>
  <si>
    <t>فريدون خدادادي ممقاني</t>
  </si>
  <si>
    <t>علي صادقي</t>
  </si>
  <si>
    <t>بهرام سلطاني</t>
  </si>
  <si>
    <t>مراد خيري خاتوني</t>
  </si>
  <si>
    <t>پروانه نجفی</t>
  </si>
  <si>
    <t>عليرضا محمدي</t>
  </si>
  <si>
    <t>فروشگاه تاك کرج</t>
  </si>
  <si>
    <t>فروشگاه تاك كرج 2</t>
  </si>
  <si>
    <t>غلام رضا ملائي</t>
  </si>
  <si>
    <t>سرمد غياثي</t>
  </si>
  <si>
    <t>جليل ابوقداره/شکراله کمري</t>
  </si>
  <si>
    <t>رضا نقي پور</t>
  </si>
  <si>
    <t>بهروز نرگسي</t>
  </si>
  <si>
    <t>نظر حيدري</t>
  </si>
  <si>
    <t>رستم رحيمي</t>
  </si>
  <si>
    <t>غلامرضا ممسني رو</t>
  </si>
  <si>
    <t>محمد رضا صحت پور</t>
  </si>
  <si>
    <t>سيد ابراهيم جعفري</t>
  </si>
  <si>
    <t>علي اعظمي</t>
  </si>
  <si>
    <t>غلام حسین اسکندری</t>
  </si>
  <si>
    <t>اصغر پروایی</t>
  </si>
  <si>
    <t>حسين شهاب</t>
  </si>
  <si>
    <t>احد وحداني</t>
  </si>
  <si>
    <t>محسن سلطاني</t>
  </si>
  <si>
    <t>محمد حميدي</t>
  </si>
  <si>
    <t>اسنوا  پلاس _ 1</t>
  </si>
  <si>
    <t>محمودآقا حق گو</t>
  </si>
  <si>
    <t>محمد حسن   خدایی خاتونی</t>
  </si>
  <si>
    <t>تعارف طريقي رز</t>
  </si>
  <si>
    <t>امير صداقت گهر</t>
  </si>
  <si>
    <t>بهمن رئوفي</t>
  </si>
  <si>
    <t>عليرضا دانائي</t>
  </si>
  <si>
    <t xml:space="preserve">رسول  علیزاده </t>
  </si>
  <si>
    <t>حميدرضا حسيني محسن زاده</t>
  </si>
  <si>
    <t>احمد صادقی</t>
  </si>
  <si>
    <t>فروشگاه تاك تهران</t>
  </si>
  <si>
    <t>پیشخوان مدنی</t>
  </si>
  <si>
    <t>پیشخوان هاشمی</t>
  </si>
  <si>
    <t xml:space="preserve"> فیض بخش</t>
  </si>
  <si>
    <t>رهبري</t>
  </si>
  <si>
    <t>قاسم سعادتي</t>
  </si>
  <si>
    <t>جعفر نوروزي</t>
  </si>
  <si>
    <t>اسنوا  پلاس _ 2</t>
  </si>
  <si>
    <t xml:space="preserve"> محمد زارعی هلان</t>
  </si>
  <si>
    <t>فروشگاه تاك - الوند</t>
  </si>
  <si>
    <t>حسين فتوحي فيروز آباد</t>
  </si>
  <si>
    <t>علي اصغر خلخالي</t>
  </si>
  <si>
    <t>قرباني</t>
  </si>
  <si>
    <t>عزيزي</t>
  </si>
  <si>
    <t>احمد محمدي</t>
  </si>
  <si>
    <t>سيد يعقوب بطهائي دامناب</t>
  </si>
  <si>
    <t>اصغر اسفنديار روح اله اسفنديار /</t>
  </si>
  <si>
    <t>محمد سالار</t>
  </si>
  <si>
    <t>حسين رئيسي اردلي</t>
  </si>
  <si>
    <t>علی محمدي فر</t>
  </si>
  <si>
    <t>مهدي حمزه پور</t>
  </si>
  <si>
    <t>شاهين رسولي اشكفتكي</t>
  </si>
  <si>
    <t>فروشگاه تاك شهرکرد</t>
  </si>
  <si>
    <t>كرامت حيدري</t>
  </si>
  <si>
    <t>غضنفر عليمرداني بيرگاني</t>
  </si>
  <si>
    <t xml:space="preserve">سيد حسام الدين مصطفوي </t>
  </si>
  <si>
    <t xml:space="preserve">مهدي جليل پيران </t>
  </si>
  <si>
    <t>مهدي رباني</t>
  </si>
  <si>
    <t>جعفر ناصري</t>
  </si>
  <si>
    <t>فروشگاه تاك بیرجند</t>
  </si>
  <si>
    <t>محسن اصلحي</t>
  </si>
  <si>
    <t>حميدرضا عليزاده</t>
  </si>
  <si>
    <t>مجتبي طاهريان</t>
  </si>
  <si>
    <t>آقای دهستانی</t>
  </si>
  <si>
    <t>آقای امینیان</t>
  </si>
  <si>
    <t>علي اوسط طيبي مقدم</t>
  </si>
  <si>
    <t>ظهیری</t>
  </si>
  <si>
    <t>آقاي فياض</t>
  </si>
  <si>
    <t>قربانعلي رنجبر سياهدشت</t>
  </si>
  <si>
    <t>فروشگاه تاك قوچان</t>
  </si>
  <si>
    <t>عبدالعظيم برامکي يزدي</t>
  </si>
  <si>
    <t>محمد مقتدري اصفهاني</t>
  </si>
  <si>
    <t>سيدمهدي نمائي</t>
  </si>
  <si>
    <t xml:space="preserve">فروشگاه اسمارت مشهد  </t>
  </si>
  <si>
    <t>سید مجید سروری</t>
  </si>
  <si>
    <t>مجید سلطانی</t>
  </si>
  <si>
    <t>فروشگاه تاك مشهد</t>
  </si>
  <si>
    <t>فروشگاه تاك مشهد 2</t>
  </si>
  <si>
    <t>سيد ابوالقاسم خيامي</t>
  </si>
  <si>
    <t>كيقبادي</t>
  </si>
  <si>
    <t>كريم بيت الاماني</t>
  </si>
  <si>
    <t>عباس قره باغي</t>
  </si>
  <si>
    <t>ايوب بکائيان</t>
  </si>
  <si>
    <t>فروشگاه تاك نیشابور</t>
  </si>
  <si>
    <t>مجيد عظيمي</t>
  </si>
  <si>
    <t>مهدي عباس بهمدي</t>
  </si>
  <si>
    <t>سيد محمود جلائي</t>
  </si>
  <si>
    <t>پيام گرمه اي</t>
  </si>
  <si>
    <t>خسروجردي</t>
  </si>
  <si>
    <t>حسينعلي طالب زاده</t>
  </si>
  <si>
    <t>سهراب ایزانلو</t>
  </si>
  <si>
    <t>فروشگاه تاك بجنورد</t>
  </si>
  <si>
    <t>آقای اصغرزاده</t>
  </si>
  <si>
    <t>محمود زاده</t>
  </si>
  <si>
    <t>حسین قائمی فاروج</t>
  </si>
  <si>
    <t>جمال گوباني</t>
  </si>
  <si>
    <t>حيدرعلي كاظمي</t>
  </si>
  <si>
    <t>غلامعباس حبيبي</t>
  </si>
  <si>
    <t>سباهي گريباوي</t>
  </si>
  <si>
    <t>حسن فتحي</t>
  </si>
  <si>
    <t xml:space="preserve">فروشگاه اسمارت اهواز  </t>
  </si>
  <si>
    <t>محمدحسن کرچي</t>
  </si>
  <si>
    <t>محمود اسماعيلي</t>
  </si>
  <si>
    <t>داريوش کريمي</t>
  </si>
  <si>
    <t>فروشگاه تاك اهواز</t>
  </si>
  <si>
    <t>ساسان گشتيل</t>
  </si>
  <si>
    <t>محمد بقال زاده</t>
  </si>
  <si>
    <t>محسن عبداله پور</t>
  </si>
  <si>
    <t>فرج الله زنگنه</t>
  </si>
  <si>
    <t>عبدالغفور چراخ</t>
  </si>
  <si>
    <t>سيد محسن جوادي</t>
  </si>
  <si>
    <t>محمود عسگري</t>
  </si>
  <si>
    <t>محسن بهنود فر</t>
  </si>
  <si>
    <t>محمد رضا نظامي پور</t>
  </si>
  <si>
    <t>محمدحسين محمدي بهبهاني</t>
  </si>
  <si>
    <t>محمد رضا بو مغینمی</t>
  </si>
  <si>
    <t>عقیل عیسی پوران</t>
  </si>
  <si>
    <t>عباس فروغي راد</t>
  </si>
  <si>
    <t>عبدالزهرا فلاحي</t>
  </si>
  <si>
    <t>فرشته بابادي</t>
  </si>
  <si>
    <t>منصور قاسمي</t>
  </si>
  <si>
    <t>تقی جمالی</t>
  </si>
  <si>
    <t>اصغري فر</t>
  </si>
  <si>
    <t>علي فضلي</t>
  </si>
  <si>
    <t>شاهپور کريمي</t>
  </si>
  <si>
    <t>عباس حسنلو</t>
  </si>
  <si>
    <t>صادق نظری</t>
  </si>
  <si>
    <t>فروشگاه تاك زنجان</t>
  </si>
  <si>
    <t>انفراد</t>
  </si>
  <si>
    <t>علي نيساري</t>
  </si>
  <si>
    <t>يدالله ملائي</t>
  </si>
  <si>
    <t>حسن علي حسيني</t>
  </si>
  <si>
    <t>ابراهیم بنی عامری 1</t>
  </si>
  <si>
    <t>حميد موذنيان</t>
  </si>
  <si>
    <t>حسينعلي غلامي</t>
  </si>
  <si>
    <t>فروشگاه تاك سمنان</t>
  </si>
  <si>
    <t>حسين معصوم</t>
  </si>
  <si>
    <t>جواد عجم</t>
  </si>
  <si>
    <t>فروشگاه تاك شاهرود</t>
  </si>
  <si>
    <t>فروشگاه تاك گرمسار</t>
  </si>
  <si>
    <t>سيد علي پيمبرپي</t>
  </si>
  <si>
    <t xml:space="preserve"> مصطفی شفیعی</t>
  </si>
  <si>
    <t>جعفر خدري</t>
  </si>
  <si>
    <t>جابر فارسي</t>
  </si>
  <si>
    <t>عليرضا حسيني</t>
  </si>
  <si>
    <t>اكبر احتشامي</t>
  </si>
  <si>
    <t>رضا ميرراستگو</t>
  </si>
  <si>
    <t>سيدمحمد جواد ميرزانيا</t>
  </si>
  <si>
    <t>پوران لطفي</t>
  </si>
  <si>
    <t>علي صمدي (شيراز)</t>
  </si>
  <si>
    <t>عبدالحسين خرم دل</t>
  </si>
  <si>
    <t>رحيم مظفري</t>
  </si>
  <si>
    <t>محمد مسعود رزمي</t>
  </si>
  <si>
    <t>محمد مولائي سعدي</t>
  </si>
  <si>
    <t xml:space="preserve">فروشگاه تاك شیراز </t>
  </si>
  <si>
    <t>فرزاد شكوهي</t>
  </si>
  <si>
    <t xml:space="preserve">عابدی  </t>
  </si>
  <si>
    <t>محمدحسين طاهري قيري</t>
  </si>
  <si>
    <t>ابراهيم مشي</t>
  </si>
  <si>
    <t>محمد رزمي</t>
  </si>
  <si>
    <t xml:space="preserve">ستوده کیا  </t>
  </si>
  <si>
    <t>علی اکبر کرمی</t>
  </si>
  <si>
    <t>مجيد زردشت</t>
  </si>
  <si>
    <t>علي كريمي زياراني</t>
  </si>
  <si>
    <t>سعيد احمدي</t>
  </si>
  <si>
    <t>ابوالفضل رحماني</t>
  </si>
  <si>
    <t>داوود رحماني</t>
  </si>
  <si>
    <t>ابوالفضل باقري</t>
  </si>
  <si>
    <t>مجيد حاجي نصري</t>
  </si>
  <si>
    <t>رضا برزگر فارسياني</t>
  </si>
  <si>
    <t>محمد طارمیان</t>
  </si>
  <si>
    <t>محسن بهتوئي</t>
  </si>
  <si>
    <t>فروشگاه تاك قزوین</t>
  </si>
  <si>
    <t>سيد فرشاد فتاحي</t>
  </si>
  <si>
    <t>مرتضی فلاح بردبار</t>
  </si>
  <si>
    <t>ياس نوين پارسه - قم1</t>
  </si>
  <si>
    <t xml:space="preserve">فروشگاه اسمارت قم  </t>
  </si>
  <si>
    <t>ياس نوين پارسه - قم 2</t>
  </si>
  <si>
    <t>فروشگاه تاك قم</t>
  </si>
  <si>
    <t>ستار حبيبي</t>
  </si>
  <si>
    <t>حميدرضا نيازي</t>
  </si>
  <si>
    <t>پيمان احمدزاده شيرمرد</t>
  </si>
  <si>
    <t>ابراهيم مجيدي</t>
  </si>
  <si>
    <t>فرزين فراست يار</t>
  </si>
  <si>
    <t>ياس نوين پارسه - قروه</t>
  </si>
  <si>
    <t>رضا مرادی</t>
  </si>
  <si>
    <t>حسین خالدیان</t>
  </si>
  <si>
    <t>سيد عطا كهنه پوش</t>
  </si>
  <si>
    <t>سيد علي تکيه خواه</t>
  </si>
  <si>
    <t xml:space="preserve">باديه نشين </t>
  </si>
  <si>
    <t>غلامحسين رضا زاده</t>
  </si>
  <si>
    <t>احمد آبستان</t>
  </si>
  <si>
    <t>محسن عامري کرماني</t>
  </si>
  <si>
    <t>مسعود فاريابي</t>
  </si>
  <si>
    <t>مجید مظفري</t>
  </si>
  <si>
    <t>سيد حميدرضا تهامي</t>
  </si>
  <si>
    <t>محمد حسن پور بيگلري</t>
  </si>
  <si>
    <t>محمد تقي عبدلي</t>
  </si>
  <si>
    <t xml:space="preserve">مهدي اكبري </t>
  </si>
  <si>
    <t>حميدرضا نخعي</t>
  </si>
  <si>
    <t>حميد رحيمي صادق</t>
  </si>
  <si>
    <t>سيدجليل ميرکمالي</t>
  </si>
  <si>
    <t>غلامعباس مستري</t>
  </si>
  <si>
    <t>فروشگاه تاك کرمان</t>
  </si>
  <si>
    <t>ناهيد اکبري ملکشاهي</t>
  </si>
  <si>
    <t>علی کریمی</t>
  </si>
  <si>
    <t xml:space="preserve">فروشگاه تاك اسلام آبادغرب </t>
  </si>
  <si>
    <t>سيروس عزيززاده</t>
  </si>
  <si>
    <t>عبدالرحمان بکری</t>
  </si>
  <si>
    <t>عبدالباسط احمدي</t>
  </si>
  <si>
    <t>شاپور بشيري منش</t>
  </si>
  <si>
    <t>اردشير فلاحي</t>
  </si>
  <si>
    <t>حمزه انصاری پور</t>
  </si>
  <si>
    <t>شهرام پناه بحق</t>
  </si>
  <si>
    <t>سيدمحمود خاموشي</t>
  </si>
  <si>
    <t>بهروز بختياري نيا</t>
  </si>
  <si>
    <t>پژمان اميريان</t>
  </si>
  <si>
    <t>حميد حاجي مقصود</t>
  </si>
  <si>
    <t>حميد رضا دهکاني</t>
  </si>
  <si>
    <t>محمد رضا بهمن تيموري</t>
  </si>
  <si>
    <t>ناصر ناصری</t>
  </si>
  <si>
    <t xml:space="preserve">فروشگاه تاك کرمانشاه </t>
  </si>
  <si>
    <t>مختار نظري فر</t>
  </si>
  <si>
    <t>سجاد سوري</t>
  </si>
  <si>
    <t>شهرام رستميان</t>
  </si>
  <si>
    <t>پرويز بهمني</t>
  </si>
  <si>
    <t>حيدر رضواني معظم</t>
  </si>
  <si>
    <t>امير حسين روشن</t>
  </si>
  <si>
    <t>فروشگاه تاك یاسوج</t>
  </si>
  <si>
    <t>فروشگاه تاك یاسوج 2</t>
  </si>
  <si>
    <t>زهرا سميعي پاقلعه</t>
  </si>
  <si>
    <t>عبدالقيوم قره داشلي</t>
  </si>
  <si>
    <t>عبدالرحمان مغفوري</t>
  </si>
  <si>
    <t>الله قلی کمی</t>
  </si>
  <si>
    <t>سيد يدالله موسوي پارسائي</t>
  </si>
  <si>
    <t>ربابه حسيني سعد آباد</t>
  </si>
  <si>
    <t>مجید خاندوزی</t>
  </si>
  <si>
    <t>غلام حسين حسيني</t>
  </si>
  <si>
    <t>فتح الله دانش فر</t>
  </si>
  <si>
    <t>فروشگاه تاك كردكوي</t>
  </si>
  <si>
    <t>سکينه رزاقي</t>
  </si>
  <si>
    <t>مليحه (گرگان) اسفنديار</t>
  </si>
  <si>
    <t>علی قاسمی</t>
  </si>
  <si>
    <t>فروشگاه تاك گرگان</t>
  </si>
  <si>
    <t>جواد ميرزائي</t>
  </si>
  <si>
    <t>امير عظيمي نيا</t>
  </si>
  <si>
    <t>فروشگاه تاك گنبد</t>
  </si>
  <si>
    <t>محمد رضا خانلر خاني</t>
  </si>
  <si>
    <t>بهنام همراهي</t>
  </si>
  <si>
    <t>محمد رضا حاتم چوري</t>
  </si>
  <si>
    <t>علي شمس</t>
  </si>
  <si>
    <t xml:space="preserve">علی خورسند </t>
  </si>
  <si>
    <t>علي/محمد بخشنده حور</t>
  </si>
  <si>
    <t xml:space="preserve">علی قائمی </t>
  </si>
  <si>
    <t>ياس نوين پارسه - رشت</t>
  </si>
  <si>
    <t>فروشگاه تاك رشت (بلوار امام)</t>
  </si>
  <si>
    <t>فروشگاه تاك رشت (خيابان لاكاني)</t>
  </si>
  <si>
    <t>معصومه ولیزاده</t>
  </si>
  <si>
    <t>عظيم اخلاقي لويه</t>
  </si>
  <si>
    <t>ماهيان بلوري</t>
  </si>
  <si>
    <t>ناظم قلي پورچسلي</t>
  </si>
  <si>
    <t xml:space="preserve">سجاد بشکول </t>
  </si>
  <si>
    <t>مهيار رضائيان کوچصفهاني</t>
  </si>
  <si>
    <t xml:space="preserve">قربان درخشیده </t>
  </si>
  <si>
    <t>علي داود شاه محمدي لوشاني</t>
  </si>
  <si>
    <t xml:space="preserve">سلیم رضائی </t>
  </si>
  <si>
    <t>مسعود مرزبان</t>
  </si>
  <si>
    <t>یاس نوین مهر ازنا</t>
  </si>
  <si>
    <t>بهروزآزادی</t>
  </si>
  <si>
    <t>فروشگاه تاك الشتر</t>
  </si>
  <si>
    <t>علي جديدي</t>
  </si>
  <si>
    <t>حسين بهروزي</t>
  </si>
  <si>
    <t>یاس نوین مهر الیگودرز</t>
  </si>
  <si>
    <t>بهمن مقداری</t>
  </si>
  <si>
    <t>یاس نوین مهر بروجرد</t>
  </si>
  <si>
    <t>عرب علي اسحاقي</t>
  </si>
  <si>
    <t>اسماعيل بابايي پيري</t>
  </si>
  <si>
    <t>ليلا جعفرپور طولابي</t>
  </si>
  <si>
    <t>زهرا پيريائي</t>
  </si>
  <si>
    <t>حجت اله رشنو</t>
  </si>
  <si>
    <t>سيدحامد الحسيني</t>
  </si>
  <si>
    <t>محسن اميدزاده</t>
  </si>
  <si>
    <t>فروشگاه تاك خرم آباد</t>
  </si>
  <si>
    <t>یاس نوین مهر خرم آباد</t>
  </si>
  <si>
    <t>سليمان طيوري</t>
  </si>
  <si>
    <t>محمود قائد رحمتي</t>
  </si>
  <si>
    <t>یاس نوین مهر درود</t>
  </si>
  <si>
    <t>مهرداد خوشناموند</t>
  </si>
  <si>
    <t>حسین گراوند</t>
  </si>
  <si>
    <t>عزیزاله جعفری</t>
  </si>
  <si>
    <t>یاس نوین مهر نور آباد</t>
  </si>
  <si>
    <t>علیرضا لطفی پور</t>
  </si>
  <si>
    <t>محمدرضا شهاب نيا</t>
  </si>
  <si>
    <t>مهدي کاظمي تاري</t>
  </si>
  <si>
    <t>فروشگاه تاك بابل</t>
  </si>
  <si>
    <t>رحيم صادقپوردرزي</t>
  </si>
  <si>
    <t>سيد محمد علي حسيني</t>
  </si>
  <si>
    <t>محمد قاسم زاده</t>
  </si>
  <si>
    <t>جعفر بذري کلاکي</t>
  </si>
  <si>
    <t>غلامرضا نادعلي زاده</t>
  </si>
  <si>
    <t>رحمت اله عسگرپور</t>
  </si>
  <si>
    <t>کيوان مهرپور(تنکابن)</t>
  </si>
  <si>
    <t xml:space="preserve">محمد باقر وسعید قطبی </t>
  </si>
  <si>
    <t>سعيد سمائي</t>
  </si>
  <si>
    <t>راشدي</t>
  </si>
  <si>
    <t>رحيم حلاجيان</t>
  </si>
  <si>
    <t>محمد رضا ميرنژاد</t>
  </si>
  <si>
    <t xml:space="preserve">ياس نوين پارسه ساري - خيابان طالقاني </t>
  </si>
  <si>
    <t xml:space="preserve"> نادر وصاف</t>
  </si>
  <si>
    <t>محسن سيدي</t>
  </si>
  <si>
    <t>آقاي عزيزي</t>
  </si>
  <si>
    <t>علي اصغر احمدي</t>
  </si>
  <si>
    <t>تعاوني خدمات بازرگاني تهيه و توزيع لوازم خانگي قائم خزر</t>
  </si>
  <si>
    <t>سيد احمد سيدي دوکي</t>
  </si>
  <si>
    <t>احمد کثيري</t>
  </si>
  <si>
    <t>ابراهيم محمد زاده</t>
  </si>
  <si>
    <t>حسين وفائيان</t>
  </si>
  <si>
    <t>مصيب صالحي</t>
  </si>
  <si>
    <t>محمد اباذريان</t>
  </si>
  <si>
    <t>آقاي ارجمندنيا</t>
  </si>
  <si>
    <t>مهدي کلاني</t>
  </si>
  <si>
    <t>مرتضي چنگي</t>
  </si>
  <si>
    <t>سعيد افتخاري</t>
  </si>
  <si>
    <t xml:space="preserve">فروشگاه اسمارت اراک  </t>
  </si>
  <si>
    <t>اعلاء ذوالفقاري</t>
  </si>
  <si>
    <t>علي رضا اکبري</t>
  </si>
  <si>
    <t>احمد اسمعيلي</t>
  </si>
  <si>
    <t>علي مومني نژاد</t>
  </si>
  <si>
    <t>فروشگاه تاك اراک</t>
  </si>
  <si>
    <t>علي قاسمي</t>
  </si>
  <si>
    <t>علی اصغر شاهوردی</t>
  </si>
  <si>
    <t>عباس مشايخي</t>
  </si>
  <si>
    <t>فروشگاه تاك خمین</t>
  </si>
  <si>
    <t>حسين اکبري</t>
  </si>
  <si>
    <t>اسدالله حسين زاده</t>
  </si>
  <si>
    <t>ابوالفضل مؤمن کاشاني</t>
  </si>
  <si>
    <t>نعمت اله برجي</t>
  </si>
  <si>
    <t>عليرضا پرنيان</t>
  </si>
  <si>
    <t>ابوالفضل کميجاني بزچلوئي</t>
  </si>
  <si>
    <t>رضا زلفي</t>
  </si>
  <si>
    <t>علي حسيني</t>
  </si>
  <si>
    <t>احمد کرمی</t>
  </si>
  <si>
    <t>محمد ابراهيم سرخوش</t>
  </si>
  <si>
    <t>مطلب فلاح</t>
  </si>
  <si>
    <t>فاطمه ايران پور</t>
  </si>
  <si>
    <t>حسن رجبي عباد</t>
  </si>
  <si>
    <t>مهدي يزداني مدام</t>
  </si>
  <si>
    <t>جواد صميمي</t>
  </si>
  <si>
    <t>نقي اسماعيلي</t>
  </si>
  <si>
    <t>حسين شاهمحمدي</t>
  </si>
  <si>
    <t>محمد ارغواني پناه</t>
  </si>
  <si>
    <t>حامد حسني</t>
  </si>
  <si>
    <t>عبداله زهره  وند</t>
  </si>
  <si>
    <t>محمد علي سراجي</t>
  </si>
  <si>
    <t>اردشير کاظمي</t>
  </si>
  <si>
    <t>منصور حضرتي</t>
  </si>
  <si>
    <t>قربان افشاري</t>
  </si>
  <si>
    <t>ولي اله شيرخاني</t>
  </si>
  <si>
    <t>فروشگاه تاك همدان</t>
  </si>
  <si>
    <t xml:space="preserve">محمد علي فلاح زاده </t>
  </si>
  <si>
    <t>محمد حيدر زاده</t>
  </si>
  <si>
    <t>مصطفي نيك انديش</t>
  </si>
  <si>
    <t>سيد مهدي حسيني زاده ميرک آباد</t>
  </si>
  <si>
    <t>اميرحسين جعفري</t>
  </si>
  <si>
    <t>غضنفر ميرشاهي</t>
  </si>
  <si>
    <t>حسين زارع ابراهيم آباد</t>
  </si>
  <si>
    <t>فروشگاه تاك یزد</t>
  </si>
  <si>
    <t>آقاي محمد كاظم زنديه</t>
  </si>
  <si>
    <t>آقاي بهرام رزمي</t>
  </si>
  <si>
    <t>آقاي محمدعلي جهانيان</t>
  </si>
  <si>
    <t>آقاي مجيد محجل والا</t>
  </si>
  <si>
    <t>آقای سید هادی نیکدل</t>
  </si>
  <si>
    <t>آقاي سلحشور</t>
  </si>
  <si>
    <t>آقاي عباس فلاح زاده ابرقوئي</t>
  </si>
  <si>
    <t>آقاي محمد حسن مجيدزاده گيگاسري</t>
  </si>
  <si>
    <t>آقاي مجيد محيان</t>
  </si>
  <si>
    <t>آقاي محمدرضا نظامي پور</t>
  </si>
  <si>
    <t>آقاي جمال زيوري دلاور</t>
  </si>
  <si>
    <t>آقای مهدی براتی</t>
  </si>
  <si>
    <t>آقاي عليرضا فولادي</t>
  </si>
  <si>
    <t>آقاي احمد نظامي پور</t>
  </si>
  <si>
    <t>آقاي محمد ابراهيم كرباسي</t>
  </si>
  <si>
    <t>آقاي داريوش عبدا... زاده</t>
  </si>
  <si>
    <t>آقاي علي اصغر آل كيوان</t>
  </si>
  <si>
    <t>آقاي مصطفي شايق</t>
  </si>
  <si>
    <t>آقاي حسين گل افشان</t>
  </si>
  <si>
    <t>آقای ولی ا... قربانی</t>
  </si>
  <si>
    <t>آقاي حسين نيك پي</t>
  </si>
  <si>
    <t>آقاي حميد آشتياني</t>
  </si>
  <si>
    <t>آقاي سلام زماني</t>
  </si>
  <si>
    <t>آقای عباس نجمی نژاد</t>
  </si>
  <si>
    <t>آقاي عبدالرحيم كميلي</t>
  </si>
  <si>
    <t>آقاي محمد طاهريان</t>
  </si>
  <si>
    <t>آقاي هرمز محمدي ساماني</t>
  </si>
  <si>
    <t>آقاي غلامرضا كريمي</t>
  </si>
  <si>
    <t>آقای ابراهیم بابائی پیری</t>
  </si>
  <si>
    <t>آقاي محمد احمديان</t>
  </si>
  <si>
    <t>آقاي عليرضا سحابي</t>
  </si>
  <si>
    <t>آقاي فرشيد كرمي گروسي</t>
  </si>
  <si>
    <t>آقاي حميدرضا ديبا كازراني</t>
  </si>
  <si>
    <t>آقاي قاسم عباسي</t>
  </si>
  <si>
    <t>شرکت گل سرخ</t>
  </si>
  <si>
    <t>آقای منوچهر منتی داود</t>
  </si>
  <si>
    <t>نسترن ايزدي</t>
  </si>
  <si>
    <t>زهرا طهماس</t>
  </si>
  <si>
    <t>عباس نجمي نژاد</t>
  </si>
  <si>
    <t>داوود پارسا</t>
  </si>
  <si>
    <t>معصوم مقربي</t>
  </si>
  <si>
    <t xml:space="preserve">سيد علي رضازاده </t>
  </si>
  <si>
    <t>صمیع خانی</t>
  </si>
  <si>
    <t>قنبری</t>
  </si>
  <si>
    <t xml:space="preserve">روبروی بانک صادرات مرکزی جنب بانک مهر اقتصاد فروشگاه پارس </t>
  </si>
  <si>
    <t xml:space="preserve"> خيابان شريعتي روبروي بيمه ايران فروشگاه رفيعي</t>
  </si>
  <si>
    <t>خيابان امام روبروی بانک قوامین</t>
  </si>
  <si>
    <t xml:space="preserve">بناب  خيابان امام   روبروی  هلال احمر  </t>
  </si>
  <si>
    <t>خيابان آزادي چهار راه لاله به طرف ميدان امام حسين فروشگاه بزرگ سلامي</t>
  </si>
  <si>
    <t>خيابان تربیت جنب بازار نور پاساژ نادری نبش همکف پلاك 13</t>
  </si>
  <si>
    <t xml:space="preserve">نبش چهاراه مارالان روبروی بانک ملی </t>
  </si>
  <si>
    <t xml:space="preserve"> خيابان حجتي نرسيده به فلکه معلم فروشگاه هوشمند </t>
  </si>
  <si>
    <t xml:space="preserve"> خيابان صائب بین قطران و ابوریحان فروشگاه خانه سبز</t>
  </si>
  <si>
    <t>باسمنج - خيابان امام - روبروي مخابرات - پلاك 22</t>
  </si>
  <si>
    <t>خیابان امام - نرسیده به چهارراه آب‌رسان روبروی کوی اطبا- جنب کلینیک پاستور و بانک انصار- فروشگاه</t>
  </si>
  <si>
    <t>قره آبادخيابان امام سه راه مراغه فروشگاه بسیجیان</t>
  </si>
  <si>
    <t xml:space="preserve">خيابان امام خميني نرسيده به مسجد حاج سلطان فروشگاه لوازم خانگي جوادي </t>
  </si>
  <si>
    <t xml:space="preserve"> خيابان  مطهري  جنب  مسجد  جامع  فروشگاه  آقاي خليل  زاده </t>
  </si>
  <si>
    <t xml:space="preserve">خيابان گلشن راز - فروشگاه آقاي ردادي </t>
  </si>
  <si>
    <t>بلوار بسیج - سه راه وایگان - روبه روی پلیس 10 + /</t>
  </si>
  <si>
    <t xml:space="preserve">ميدان نماز - ابتداي خيابان 17 شهريور  - لوازم خانگي شريفي  </t>
  </si>
  <si>
    <t>خیابان امام جنب بانک سپه</t>
  </si>
  <si>
    <t xml:space="preserve">خیابان امام جنب بانک کشاورزی فروشگاه مهر </t>
  </si>
  <si>
    <t>خيابان امام - جنب بانك سپه-</t>
  </si>
  <si>
    <t xml:space="preserve"> خیابان سرآسیاب روبروی بیمه کوثر پ76    </t>
  </si>
  <si>
    <t xml:space="preserve"> نبش ميدان نماز - لوازم خانگي شولاني - زير زمين فروشگاه -</t>
  </si>
  <si>
    <t xml:space="preserve">خيابان شهيد باكري - بالاتر از بانك ملت - فروشگاه ياس </t>
  </si>
  <si>
    <t xml:space="preserve">خيابان امام بالاتر از مسجد سپاه قبل از پمپ بنزین </t>
  </si>
  <si>
    <t xml:space="preserve">خيابان مولوی 2 نبش فردوسی 2 </t>
  </si>
  <si>
    <t>خیابان مدنی یک- ابتدای کوچه عرب باغی - فروشگاه تاک</t>
  </si>
  <si>
    <t xml:space="preserve"> خيابان بعثت- طبقه ی همکف - پلاك 31 و 32    </t>
  </si>
  <si>
    <t xml:space="preserve"> -خيابان بعثت نرسيده به چهارراه باکري روبروي بانک سپه پاساژ امير خانه اسنوا فروشگاه تسوجي / </t>
  </si>
  <si>
    <t>خيابان مولوی 1- روبه روی بانک ایران زمین - خانه اسنوا-</t>
  </si>
  <si>
    <t>خيابان سعدي غربي -جنب شوراي حل اختلاف- فروشگاه ياس نوين پارسه پيرانشهر</t>
  </si>
  <si>
    <t>خيابان استقلال شرقي (خيابان پزشک)- روبروي بيمارستان امام خميني-شرکت تعاوني عشايري پيرانشهر-اقاي اسماعيلي</t>
  </si>
  <si>
    <t xml:space="preserve"> فلکه ملاصدرا - نرسيده به اداره راه - فروشگاه لوازم خانگي گوهرنيا -</t>
  </si>
  <si>
    <t xml:space="preserve">خيابان شيخيابان جعفري - روبروی مسجد صاحب زمان </t>
  </si>
  <si>
    <t xml:space="preserve"> بلوار  مطهري  -  روبروي  کوي  شهداء  -  فروشگاه  لوازم  خانگي  وطن  خواه </t>
  </si>
  <si>
    <t xml:space="preserve">خيابان امام نرسیده به میدان قیام </t>
  </si>
  <si>
    <t xml:space="preserve"> خيابان مطهري ، روبروي بانک مسکن فروشگاه برادران حسن زاده </t>
  </si>
  <si>
    <t>بلوار امام حسین میدان امام خمینی روبروی اداره گاز</t>
  </si>
  <si>
    <t>خيابان بسيج نبش جايگاه بنزين حسيني پ1275 برادران حمزه لو /  - /</t>
  </si>
  <si>
    <t xml:space="preserve"> بلوار رسالت – نرسيده به بيمه ايران – بالاتر از شيريني عسل – فروشگاه لوازم خانگي رجب زاده </t>
  </si>
  <si>
    <t>آذربايجان غربي,مهاباد مهاباد-خيابان سرباز--کوچه هاشمي</t>
  </si>
  <si>
    <t xml:space="preserve">خيابان 17 شهريور  - پاساژ حافظ - فروشگاه صدف / </t>
  </si>
  <si>
    <t xml:space="preserve"> خيابان شهيد بهشتي - فروشگاه تيمور پور</t>
  </si>
  <si>
    <t>میدام قیام روبروی هتل نادری</t>
  </si>
  <si>
    <t xml:space="preserve"> آخر خيابان فلسطین- خيابان مالک اشتر. آقاي صلاحي</t>
  </si>
  <si>
    <t>اردبيل,اردبيل مابين ميدان قيام و عالي قاپو -- جنب نمايندگي ايران خودرو -- فروشگاه لوازم خانگي فتح --  جناب آقاي جليل بدلي</t>
  </si>
  <si>
    <t>خيابان کشاورز، ميدان سعدي، نبش ميدان به طرف باغ ميشه، روبروي روزنامه همشهري، فروشگاه ياس نوين پارسه، آقاي مرادي،</t>
  </si>
  <si>
    <t>پارس آباد مغان - خيابان امام خميني - نرسيده به هتل ارسباران - لوازم خانگي برادران محمدي -</t>
  </si>
  <si>
    <t xml:space="preserve">اردبیل-خیابان دانش - نرسیده به چهار راه حافظ - پلاک 31-فروشگاه تاک </t>
  </si>
  <si>
    <t xml:space="preserve"> ميدان شهرداري - جنب کميته امداد- فروشگاه ياس نوين پارسه بيله سوار </t>
  </si>
  <si>
    <t xml:space="preserve"> ميدان سپاه- روبروي دارلقرآن - فروشگاه ياس نوين پارسه پارس آباد</t>
  </si>
  <si>
    <t>ميدان سپاه، روبروي دار القرآن، فروشگاه ياس نوين پارسه پارس آباد</t>
  </si>
  <si>
    <t xml:space="preserve">خیابان شهید رجایی نرسیده به بانک ملی </t>
  </si>
  <si>
    <t xml:space="preserve">خيابان شهيد مظفر عزيزي - روبه روي بيمارستان قديم - فروشگاه ياس نوين پارسه خلخال </t>
  </si>
  <si>
    <t xml:space="preserve"> اول بازار ابوذر- مقابل حمام تاریخی نصر- مجتمع لوازم خانگی رضازاده–</t>
  </si>
  <si>
    <t xml:space="preserve"> خيابان  دکتر بهشتي - روبروي شرکت مسافر بري گرمي - فروشگاه ياس نوين پارسه گرمي ( بسيجيان )  </t>
  </si>
  <si>
    <t xml:space="preserve">خيابان امام خميني - بالا تر از داروخانه محمودی </t>
  </si>
  <si>
    <t xml:space="preserve">میدان خانلی / اول خیابان  مفتح - روبروي نانوائي عدلي   </t>
  </si>
  <si>
    <t>خيابان شهيد فائق- جنب تعاونی فریدنی لوازم خانگی ملکی</t>
  </si>
  <si>
    <t xml:space="preserve">خ هاتف کوچه کرمانی فروشگاه خانه اسنوا سرتاج </t>
  </si>
  <si>
    <t>اصفهان,اصفهان اصفهان سپاهان شهر روبروي سيتي سنتر شرکت تعاوني مصرف فولاد آقاي مومني</t>
  </si>
  <si>
    <t>اصفهان,اصفهان خ شيخ بهايي- نبش چهار راه قصر- فروشگاه خانه اسنوا پرشين- آقاي بابا ربيع</t>
  </si>
  <si>
    <t xml:space="preserve">خيابان هاتف روبروي پمپ بنزين، فروشگاه دوو، آقاي هرندي زاده،  </t>
  </si>
  <si>
    <t>پل وحید - بعد از چهار راه خاقانی - نرسیده به چهار راه رودکی - سمت راست،    09131672660</t>
  </si>
  <si>
    <t xml:space="preserve">هشت بهشت شرقي / روبروي پاساژ مرواريد / نرسيده به سه راه همدانيان  </t>
  </si>
  <si>
    <t xml:space="preserve">اصفهان,اصفهان خيابان هاتف - روبروي بانک ملت قيام - فروشگاه لوازم خانگي شاهد - آقاي مهدي جوادي         </t>
  </si>
  <si>
    <t>اصفهان,اصفهان کليشاد سودر جان 50 متر بعد از بانک ملي لوازم خانگي شفيعي  09131760316</t>
  </si>
  <si>
    <t>اصفهان-اتوبان کاوه- حدفاصل ترمینال کاوه و میدان 25 آبان - روبروی بانک مسکن- فروشگاه تاک</t>
  </si>
  <si>
    <t xml:space="preserve">خ هاتف جنب پمپ بنزین هاتف فروشگاه دوو بارانی تلفن  </t>
  </si>
  <si>
    <t>سه راه حکیم نظامی، جنب دبیرستان سعدی، لوازم خانگی مختاری، پلاک 8</t>
  </si>
  <si>
    <t>خيابان شهيد بهشتي - جنب بانك مهر اقتصاد</t>
  </si>
  <si>
    <t>اصفهان,تيران بلوار امام بعد از بنياد مسکن لوازم خانگي انتخاب</t>
  </si>
  <si>
    <t xml:space="preserve">اصفهان خميني شهر خ شريعتي جنوبي جنب پاساژ الزهرا </t>
  </si>
  <si>
    <t xml:space="preserve">اصفهان داران خشهيد بهشتي روبروي بانك مهر اقتصاد </t>
  </si>
  <si>
    <t>بلوار طالقاني-  بالاتر از ورزشگاه تختي، فروشگاه داوري</t>
  </si>
  <si>
    <t>اصفهان,زرين شهر  خيابان امام شمالي جنب بانک انصار  فروشگاه آقاي زانياني</t>
  </si>
  <si>
    <t>اصفهان,زرين شهر خيابان امام شمالي جنب بانک انصار فروشگاه زانياني</t>
  </si>
  <si>
    <t>زواره - ميدان امام -- جنب بانک انصار -- فروشگاه لوازم خانگي آموزگار -- جناب آقاي مجتبي آموزگار</t>
  </si>
  <si>
    <t>خيابان مخابرات - نبش فرعي 9 و 10 غربي - مجتمع تجاري سعادت زاده - واحد 8</t>
  </si>
  <si>
    <t>اصفهان,شاهين شهر بعد از تالار شيخ بهايي خيابان دکتر حسابي نبش فرعي 2  فروشگاه صلاحيان</t>
  </si>
  <si>
    <t>اصفهان,شهرضا خيابان صاحب الزمان - جنب بانک مسکن - فروشگاه لوازم خانگي پيام - آقاي احمد پيام</t>
  </si>
  <si>
    <t>خيابان صاحب الزمان - خيابان حكيم الهي - فروشگاه لوازم خانگي حكيم الهي</t>
  </si>
  <si>
    <t>اصفهان فريدونشهر خ شريعتي روبروي پست بانك</t>
  </si>
  <si>
    <t xml:space="preserve">خيابان امام - بعد از مسجد حجتيه - مركز جهيزيه سليمان، </t>
  </si>
  <si>
    <t xml:space="preserve">خ امام بعد از بانک رفاه فروشگاه قصر فيروزه  </t>
  </si>
  <si>
    <t xml:space="preserve">محله ب 7- خ شهدای غربی - پشت پاسگاه فروشگاه یاس - تلفن : </t>
  </si>
  <si>
    <t xml:space="preserve">اصفهان,قهدريجان خ شهيد رجايي - شرکت تعاوني روستايي آقاي عباس کريمي </t>
  </si>
  <si>
    <t>اصفهان,کاشان خيابان آيت الله سعيدي - روبروي پارك نرگس -جنب کوی بلال فروشگاه آقاي خرميان  09133627805</t>
  </si>
  <si>
    <t xml:space="preserve">كليشاد خ مطهري طبقه فوقاني لوازم خانگي امامي </t>
  </si>
  <si>
    <t>اصفهان گلپايگان بازار مسگرها لوازم خانگي عمادي</t>
  </si>
  <si>
    <t xml:space="preserve">خ امام جنب صنایع چوب رضوی </t>
  </si>
  <si>
    <t>اصفهان,نائين خيابان امام روبروي بانک مهر اقتصاد-فروشگاه بزرگ جهيزيه برادران حق پرست</t>
  </si>
  <si>
    <t>اصفهان,ويلاشهر خيابان بهاران جنوبي -- روبروي خيابان 102 الف -- واحد اعتباري شرکت تعاوني قدس --- جناب آقاي جمشيديان</t>
  </si>
  <si>
    <t xml:space="preserve">بلوار آيت الله ايزدي - روبروي پمپ بنزين پاينده - لوازم خانگي كوثر </t>
  </si>
  <si>
    <t xml:space="preserve"> قزل حصار - ملک آبادخیابان مجتهدی روبروی شکوفه 1 مجتمع تجاری ملایی    </t>
  </si>
  <si>
    <t xml:space="preserve">خيابان دکتر بهشتي - بين ميان جاده و  45 متري گلشهر - روبروي برج سيب - خيابان اصلاني - جنب بن بست شهيد لطفي - فروشگاه اسمارت، </t>
  </si>
  <si>
    <t xml:space="preserve"> ملارد - سر آسياب - خيابان شهيد صدوقي - بعد از چهار راه طالقاني -  فروشگاه آسیا - آقاي روح الله حيدري پرند</t>
  </si>
  <si>
    <t xml:space="preserve"> جاده ملارد/ بعدازخيابان اهري/ خيابان پيک/ پلاک130/ آقاي خدادادي/فروشگاه خانه اسنوا/</t>
  </si>
  <si>
    <t xml:space="preserve"> 45متري گلشهر/ نبش آذرشرقي/ فروشگاه اسنوا/ آقاي صادقيو 0</t>
  </si>
  <si>
    <t xml:space="preserve">محمدشهر-خيابان بختياري-نبش سه راه مطهري-فروشگاه آقاي سلطاني </t>
  </si>
  <si>
    <t xml:space="preserve">جاده ملارد - نرسيده به پمپ بنزين - نبش كوچه اداره برق - گلستان 2 قديم  / </t>
  </si>
  <si>
    <t xml:space="preserve">خيابان صدوقی 20 متری  نامجو پلاک 123  </t>
  </si>
  <si>
    <t xml:space="preserve"> کمالشهر/ خيابان امام خميني/ خيابان ميعاد26/ پلاک67/ فروشگاه محمدي/</t>
  </si>
  <si>
    <t xml:space="preserve">حصارک - روبروی خیابان المهدی-جنب پایگاه بسیج -فروشگاه تاک  </t>
  </si>
  <si>
    <t>کرج - سه راه گوهر دشت- روبروی بازار بزرگ ملاصدرا - ساختمان پردیس - فروشگاه تاک</t>
  </si>
  <si>
    <t xml:space="preserve">هشتگرد/ خيابان امام امت/ نبش پاساژوحدت/ فروشگاه صدف </t>
  </si>
  <si>
    <t>ايلام,ايلام -بلوار آزادي/نبش کوچه آزادي 16/فروشگاه خانه اسنوا(غياثي)</t>
  </si>
  <si>
    <t>ايلام,ايلام  چهارراه سعدي/انتهاي کوچه شمشاد فروشگاه ارمغان (آقايان ابوقداره-کمري)-09183416098</t>
  </si>
  <si>
    <t>ايلام,ايلام بلوار مدرس - روبروي شرکت آب و فاضلاب شهرستان - فروشگاه نقي پور  09188402133</t>
  </si>
  <si>
    <t xml:space="preserve">ايلام,ايوان ضلع شرق ميدان امام - فروشگاه نرگسي </t>
  </si>
  <si>
    <t>ايلام,دهلران /ايلام/دهلران/خ امام/جنب بانک رفاه فروشگاه حيدري</t>
  </si>
  <si>
    <t>ايلام,سرابله ايلام-سرابله- ميدان معلم بلوار بسيج پايينتر از فرمانداري فروشگاه رحيمي 09181410523</t>
  </si>
  <si>
    <t xml:space="preserve">اهرم  - خيابان انقلاب - ضلع جنوبي بازار مهديه - جنب نمايندگي ايران گاز - فروشگاه آقاي ممسني رو  </t>
  </si>
  <si>
    <t xml:space="preserve">خیابان شریعتی جنب اتفاقات برق فروشگاه قائم </t>
  </si>
  <si>
    <t xml:space="preserve">میدان امام خمینی - روبروی استانداری - پشت بانک صادرات - مرکز خرید پردیس </t>
  </si>
  <si>
    <t xml:space="preserve">جم سه راه بانک صادرات - لوازم خانگي مهدي </t>
  </si>
  <si>
    <t>خیابان شهید توسلی لوازم خانگی لیان</t>
  </si>
  <si>
    <t>دماوند - آبسرد - خیابان سید گتمیر - پلاک 27 - فروشگاه ایران جهیز اورجینال</t>
  </si>
  <si>
    <t xml:space="preserve">تهران,بومهن شهرک پرديس  - فاز يک - ميدان عدالت - پاساژ وليعصر - داخل بازار روز - پلاک هاي  22  -  29 -  31  -  آقاي حسين شهاب   </t>
  </si>
  <si>
    <t>تهران,تهران بزرگراه رسالت - خيابان مجيديه جنوبي - نبش کوچه مرادي - فروشگاه سعيد - آقاي احد وحداني</t>
  </si>
  <si>
    <t>تهران,تهران سه راه امين حضور، مقابل خيابان ديالمه، طبقه فوقاني موسسه کوثر، فروشگاه اسنوا، محسن سلطاني</t>
  </si>
  <si>
    <t>تهران,تهران تهران خيابان ري بعد آبشار روبروي پاسا‍ژ سهامي فروشگاه خانه اسنوا حميدي تلفن 021-33557334--09121311690</t>
  </si>
  <si>
    <t>تهران، سه راه امين حضور، خيابان ري، فروشگاه اسنوا</t>
  </si>
  <si>
    <t xml:space="preserve">تهران,تهران سه راه امين حضور - مجتمع تجاري امين حضور - طبقه همكف - پلاك 38 </t>
  </si>
  <si>
    <t xml:space="preserve">خانی آباد - شهرک شریعتی - خیابان ابوریحان - پلاک 118 - </t>
  </si>
  <si>
    <t>تهران,تهران جمهوري بين فخررازي و دانشگاه جنب مسجد امام سجاد فروشگاه طريقي خانه اسنوا</t>
  </si>
  <si>
    <t>تهران,تهران خيابان مولوي - بعد از ميدان محمدي - روبروي تختي - پلاک 1019- فروشگاه آقاي صداقت</t>
  </si>
  <si>
    <t xml:space="preserve">تهران,تهران  خيابان عباسي -خيابان حلال احمر - خيابان راهپيما جنب آتش نشاني  پلاک 620 --  09121388018   -- </t>
  </si>
  <si>
    <t xml:space="preserve">تهران-خیابان خواجه نظام-پایین تر از چهارراه شیخان- نبش کوچه اقبالی-پلاک 395 - </t>
  </si>
  <si>
    <t xml:space="preserve">تهرانسر-بلوار اصلی-مجتمع تجاری صدف-پلاک 62 - </t>
  </si>
  <si>
    <t>تهران,تهران بزرگراه نواب  شمال به جنوب لاين کندرو نرسيده به بريانک جنب بلوک دنا2پ20  09121971134</t>
  </si>
  <si>
    <t xml:space="preserve">افسریه - 15 متری سوم - بین خیابان 4 و 5 - پلاک 10 - فروشگاه برادران صادقی - </t>
  </si>
  <si>
    <t>تهران- خیابان خاوران - جنب ناحیه مالک اشتر و بانک انصار- فروشگاه تاک ، تلفن:02133432278</t>
  </si>
  <si>
    <t xml:space="preserve">تهران - خ شهید مدنی - روبروی متروی شهید مدنی - پلاک 379 - </t>
  </si>
  <si>
    <t xml:space="preserve">تهران - خیابان آزادی  - خ هاشمی - بین 21 متری جی و یادگار امام - نبش کوچه محمدی پور - پلاک 3 - واحد 1 - </t>
  </si>
  <si>
    <t>تهران - خیابان عباسی شمالی - فروشگاه دوو</t>
  </si>
  <si>
    <t>تهران - یاخچی آباد - 12 متری بشارت - پلاک 37 - فروشگاه اسنوا</t>
  </si>
  <si>
    <t>جمهوری - نبش تقاطع دانشگاه -پلاک 1130 فروشگاه اسنوا ( سعادتی )</t>
  </si>
  <si>
    <t>خیابان امین الملک ( امامزاده حسن) نبش پاساز امین الملک - پلاک 6- فروشگاه نوروزی</t>
  </si>
  <si>
    <t>خیابان ستارخان - بعد از فلکه اول صادقیه - نرسیده به چهارراه خسرو - پلاک 605- فروشگاه اسنوا</t>
  </si>
  <si>
    <t xml:space="preserve">شهرک ولیعصر - خیابان شریعتی - پلاک 130 - فروشگاه زارعی - </t>
  </si>
  <si>
    <t>قزوین -شهرک صنعتی الوند- خیابان آزادی - تقاطع خیابان استقلال - پلاک 29 -فروشگاه تاک</t>
  </si>
  <si>
    <t xml:space="preserve">تهران,تهران خيابان رباط کريم -  بلوار امام خميني - نبش خيابان گرجي - جنب مدرسه حاج جعفري - فروشگاه معلم - آقاي فتوحي   09123290284/ </t>
  </si>
  <si>
    <t>تهران,رباط کريم جاده ساوه - شهرستان رباط کريم - شهرک سپيدار - خيابان اصلي (مهر ) - روبروي امور مشترکين -  فروشگاه لوازم خانگي 110 - برادران خلخالي - علي اصغر 09122139547 - احمد خلخالي 09125996585 -  - 02156441902 فکس</t>
  </si>
  <si>
    <t>تهران - شهرری - خ فداییان اسلام - روبروی امامزاده عبدالله - نبش خ شهید حسینی - پلاک 43 - خانه اسنوا</t>
  </si>
  <si>
    <t>تهران - شهرری - دولت آباد - بین فلکه اول و دوم - پلاک 135 - خانه اسنوا</t>
  </si>
  <si>
    <t>البرز,شهريار   خيابان وليعصر نرسيده به راهنمايي و رانندگي روبروي دانشگاه آزاد فروشگاه ياس  آقاي محمدي 09123969737 - 09126994615 - -09125642128</t>
  </si>
  <si>
    <t>تهران,تهران  جاده ساوه -- شهر گلستان --  صالح آباد ( صالحيه ) -- خيابان نقاوت -- پلاک 245 -- فروشگاه لوازم خانگي اخوان سيد -- خانه اسنوا</t>
  </si>
  <si>
    <t xml:space="preserve">تهران,فيروزکوه ضلع شمالي ميدان امام خميني (سپاه) - فروشگاه سيتي سنتر - پلاک 617 - آقاي اسفنديار    09126888951  -  09126880389   -    </t>
  </si>
  <si>
    <t>تهران,ورامين ورامين-ميدان امام حسين بلوار شهيد باهنر نبش خيابان حداوند خاني(بهزيستي سابق)فروشگاه سالار09121404390--36264319</t>
  </si>
  <si>
    <t>چهار محال و بختياري خ شهدا لوازم خانگي لورچ</t>
  </si>
  <si>
    <t>بلوار ساحل غربی، فروشگاه لوازم خانگی ساحل</t>
  </si>
  <si>
    <t xml:space="preserve">چهارمحال و بختياري خ رسالت روبروي بانك مهر اقتصاد پلاك 633 </t>
  </si>
  <si>
    <t xml:space="preserve">اشکفتک بلوار رهبر فروشگاه قائم </t>
  </si>
  <si>
    <t>شهرکرد- خ.ملت- حدفاصل فلکه انقلاب و فلکه آبی - جنب قرض الحسنه محمدیه- فروشگاه تاک</t>
  </si>
  <si>
    <t>شهركرد، خيابان سعدي شرقي، روبروي كلانتري 11</t>
  </si>
  <si>
    <t>چهارمحال وبختياري,فارسان -خ شهيد بهشتي روبروي مخابرات ساختمان پارس</t>
  </si>
  <si>
    <t xml:space="preserve">فرخشهر خ شهدا روبروي بانك انصار </t>
  </si>
  <si>
    <t xml:space="preserve">چهار محال و بختياري لردگان خ عشاير كوچه 4 فروشگاه فرش و لوازم خانگي جليل پيران تلفن </t>
  </si>
  <si>
    <t xml:space="preserve">   بازار -- فروشگاه لوازم خانگي رباني -- جناب آقاي مهدي رباني   </t>
  </si>
  <si>
    <t>خيابان شهيد منتظري - بين منتظري 5 و 7 05</t>
  </si>
  <si>
    <t xml:space="preserve">خیابان پاسداران- جنب بانک انصار شعبه پاسداران- فروشگاه تاک </t>
  </si>
  <si>
    <t>طبس - خيابن خرمشهر  - مقابل بانك مهر اقتصاد</t>
  </si>
  <si>
    <t xml:space="preserve"> خيابان انقلاب بين انقلاب 8 و 10 فروشگاه حميد </t>
  </si>
  <si>
    <t>حاشيه ميدان امام - ابتداي خيابان مهدي</t>
  </si>
  <si>
    <t xml:space="preserve">  .تربت جام-بیست متری منبع آب</t>
  </si>
  <si>
    <t xml:space="preserve">تربت حیدریه-بازار گمرگ-لوازم خانگی امینیان. </t>
  </si>
  <si>
    <t>چناران خيابان طالقاني - بين طالقاني 4 و 6 -- فروشگاه لوازم خانگي ياس نوين</t>
  </si>
  <si>
    <t xml:space="preserve"> خيابان انقلاب -- نبش انقلاب 4 -- فروشگاه لوازم خانگي آقاي ظهيري   </t>
  </si>
  <si>
    <t xml:space="preserve">خيابان امام - مقابل بانك مسكن - فروشگاه ياس نوين پارسه (بسيجيان) - </t>
  </si>
  <si>
    <t>قوچان - جاده كمربندي - بين مدرس 1 و 3 - فروشگاه ياس نوين پارسه</t>
  </si>
  <si>
    <t>قوچان- خیابان شهید مطهری- بعد از چهار راه اول-فروشگاه تاک</t>
  </si>
  <si>
    <t xml:space="preserve">  خيابان قائم مقابل 15خرداد جنب صندوق علي اکبر فروشگاه برامکي  0532-8223781-09153322092</t>
  </si>
  <si>
    <t xml:space="preserve">خيابان احمد آباد - خيابان راهنمايي  بين راهنمايي 1 و 3 - فروشگاه اسنوا  - آقاي مقتدري   </t>
  </si>
  <si>
    <t xml:space="preserve"> بلوار معلم  بين معلم  10 و  12 فروشگاه خانه اسنوا   </t>
  </si>
  <si>
    <t xml:space="preserve"> چهار راه عبدالمطلب - بين ابوطالب 38 و 40 -  فروشگاه اسمارت - </t>
  </si>
  <si>
    <t xml:space="preserve">قاسم آباد روبروی شریعتی </t>
  </si>
  <si>
    <t xml:space="preserve">میدان ضد امام رضا 49 نبش چهارراه دوم </t>
  </si>
  <si>
    <t xml:space="preserve"> 30متری طلاب- نبش شهید مفتح 28-طبقه زیرین بانک انصار- فروشگاه تاک </t>
  </si>
  <si>
    <t xml:space="preserve">مشهد - آزادشهر- بلوار معلم-بین معلم 43 و 45-فروشگاه تاک </t>
  </si>
  <si>
    <t>مشهد - بين سناباد 44 و 46 - فروشگاه خانه اسنوا</t>
  </si>
  <si>
    <t>مشهد - خيابان شهيد مفتح - ابتداي مفتح 18 - فروشگاه شقايق</t>
  </si>
  <si>
    <t>مشهد - سراي بلور - دانش 11 - پاساژ امام جواد</t>
  </si>
  <si>
    <t xml:space="preserve"> خيابان امام - جنب اداره برق - روبروي بانک تجارت - فروشگاه ياس (بسيجيان ) - جناب آقاي عباس قره باغي  </t>
  </si>
  <si>
    <t xml:space="preserve"> خيابان فردوسي جنوبي -- روبروي هيئت علي اکبري -- لوازم خانگي نگين --- جناب آقاي ايوب بکائيان  </t>
  </si>
  <si>
    <t xml:space="preserve">خ.امام خمینی- بین امام خمینی 18و20- روبروی کوچه امین اسلامی- طبقه زیرین بانک انصار-فروشگاه تاک </t>
  </si>
  <si>
    <t>نيشابور - جنب خيابان امام خميني 2 - فروشگاه زيست كالا</t>
  </si>
  <si>
    <t xml:space="preserve">  خيابان  شهيد  بهشتي  جنب  بانک  مسکن  فروشگاه  سراي  بلور  - آقاي عباس بهمدي  </t>
  </si>
  <si>
    <t>خيابان امام خميني-  نرسيده به فلكه مسجد جامع - فروشگاه جلائي</t>
  </si>
  <si>
    <t xml:space="preserve"> خيابان معلم/ فروشگاه پيام گرمه اي </t>
  </si>
  <si>
    <t>خيابان امام خميني - كوچه شهيد علي اصغر خسروجردي</t>
  </si>
  <si>
    <t xml:space="preserve"> خيابان  17شهريور  جنوبي  -  مقابل بانک کشاورزی -  </t>
  </si>
  <si>
    <t xml:space="preserve">خیابان طالقانی شرقی - نرسیده به چهرارراه پارک شهر- مقابل طالقانی 14 </t>
  </si>
  <si>
    <t xml:space="preserve"> میدان کارگر-بعد از خیابان حسینی معصوم- نرسیده به کوچه بهاریا بانک انصار - پلاک 268-فروشگاه تاک</t>
  </si>
  <si>
    <t xml:space="preserve">بجنورد-بین چهارراه مخابرات ومیدان شهید-روبروی بانک سپه فروشگاه اصغرزاده. </t>
  </si>
  <si>
    <t>خيابان باهنر - باهنر 15 - پلاك 244</t>
  </si>
  <si>
    <t xml:space="preserve"> فاروج ابتدای خیابان شهید موفق </t>
  </si>
  <si>
    <t xml:space="preserve"> احمد اباد- نبش خ 7 اصلي- بین فرعی 11و 12 - فروشگاه آقاي گوباني</t>
  </si>
  <si>
    <t>احمدآباد - خيابان 12 فرعي - نبش 4 اصلي</t>
  </si>
  <si>
    <t xml:space="preserve"> خيابان امام حسين (ع) - روبروي مسجد محمدي -- پلاک 146 و 148 مجتمع تجاري لوازم خانگي آقاي حبيبي  </t>
  </si>
  <si>
    <t>كوي انقلاب - خيابان بنی هاشم - حد فاصل خيابان غزنوي و هلالي -</t>
  </si>
  <si>
    <t xml:space="preserve"> خيابان طالقاني- نبش خيابان سعدي - فروشگاه خانه اسنوا - آقاي فتحي         </t>
  </si>
  <si>
    <t xml:space="preserve">  خ چهار شير- خ کورش - روبروي خيابان دانيال - پشت کارخانه مهرزيار- روبروي پخش هجرت - انبار فروش شرکت اسنوا- </t>
  </si>
  <si>
    <t xml:space="preserve">  کوي ابوذر (حصير آباد ) خيابان کارون – بين 6 و 7 – فروشگاه تکا – آقاي محمد حسين کرچي    </t>
  </si>
  <si>
    <t xml:space="preserve"> - خ ادهم - بين سلمان فارسي و کافي - کالاي خانگي هزار نقش</t>
  </si>
  <si>
    <t>خيابان ادهم-بين نادري و امام-فروشگاه رنگارنگ-اقاي داريوش کريمي</t>
  </si>
  <si>
    <t xml:space="preserve">آریا شهر نبش خ2آریا شهر -خ امام شرقی -بعداز یوسفی -بلوار امام-روبروی راه بند لوله سازی-جنب بانک قرض الحسنه مهر ایران -فروشگاه تاک </t>
  </si>
  <si>
    <t>خيابان كاوه - بين حافظ و سعدي - خانه اسنوا - فروشگاه گشتيل</t>
  </si>
  <si>
    <t>خيابان كاوه - بين مسلم و سعدي - فروشگاه بقال زاده</t>
  </si>
  <si>
    <t xml:space="preserve"> ميدان امام علي - خيابان طالقاني - روبروي سازمان انتقال خون - فروشگاه آقاي عبدالله پور -فروشگاه ولیعصر- </t>
  </si>
  <si>
    <t>خيابان امام - جنب بانك ملي - فروشگاه زنگنه</t>
  </si>
  <si>
    <t xml:space="preserve"> ماهشهر-خ امام نبش خ وصال فروشگاه لوازم خانگي وصال </t>
  </si>
  <si>
    <t xml:space="preserve">بلوار شهيد نياكان - خيابان شهيد آريان پور - روبروي كارواش اتوماتيك </t>
  </si>
  <si>
    <t>ميدان شهيد مطهري - روبروي بانك قوامين</t>
  </si>
  <si>
    <t xml:space="preserve"> خيابان امام خميني شمالي - چهار راه قاضي - فروشگاه بهنود فر    </t>
  </si>
  <si>
    <t xml:space="preserve">ميدان  تره  بار-خيابان  کارخانه  آرد  شعله  انبار  آقاي  نظامي  پور  </t>
  </si>
  <si>
    <t xml:space="preserve"> خيابان  وليعصر  جنب  بانک  ملت  مرکزي  فروشگاه  دنياي  روشن    </t>
  </si>
  <si>
    <t xml:space="preserve"> - خیابان امام - جنب پل فلزی -</t>
  </si>
  <si>
    <t>شادگان - خيابان امام - جنب بانك صادرات</t>
  </si>
  <si>
    <t xml:space="preserve"> خيابان شهيد دانش بین میدان هفت تیر و شهید بهشتی فروشگاه فروغي راد  </t>
  </si>
  <si>
    <t xml:space="preserve"> کوي نيرو نبش خيابان 21 فروشگاه فلاحي </t>
  </si>
  <si>
    <t xml:space="preserve"> ناحيه صنعتي ماهشهر - خيابان پيروز - جنب بانک مسکن- فروشگاه بارسلونا -بهنام   بابادي  </t>
  </si>
  <si>
    <t xml:space="preserve"> خيابان امام روبروي مسجد صاحب الزمان - فروشگاه برادران قاسمي </t>
  </si>
  <si>
    <t xml:space="preserve">خیابان بهشتی / شناط / روبروی بانک سپه فروشگاه ناسیونال جمالی / </t>
  </si>
  <si>
    <t>خ بهشتی - جنب رستوران مهراب - فروشگاه لوازم خانگی اصغری فر.</t>
  </si>
  <si>
    <t>خيابان امام خميني جنب بانک رفاه فروشگاه امين</t>
  </si>
  <si>
    <t xml:space="preserve"> خيابان 20متري مدني - بالاتر از چهارراه جاده همايون - مجتمع مرکزي اسنوا - پلاک 54 - فروشگاه آقاي کريمي</t>
  </si>
  <si>
    <t xml:space="preserve"> کوي فرهنگ - سي متري لاله - فروشگاه لوازم خانگي صوتي و تصويري حسنلو  - آقاي عباس حسنلو  </t>
  </si>
  <si>
    <t xml:space="preserve"> اسلام آباد /بیست متری مدنی / جنب بانک ملت فروشگاه جهان نما</t>
  </si>
  <si>
    <t xml:space="preserve"> خیابان شیخيابان فضل ا... نوری - فروشگاه تاک </t>
  </si>
  <si>
    <t>خ سعدی جنوبی/ پایین تر بازار / پ 235 / فروشگاه انفراد</t>
  </si>
  <si>
    <t xml:space="preserve">خيابان امام-  روبروي بانك تجارت </t>
  </si>
  <si>
    <t>ابتدای خیابان انقلاب / جنب بانک ملت / پ 10</t>
  </si>
  <si>
    <t xml:space="preserve">سمنان,دامغان بلوار شمالي - پشت پاساژ خندق - فروشگاه خانه اسنوا - آقاي علي حسيني    09121312220/ </t>
  </si>
  <si>
    <t xml:space="preserve">سمنان نبش میدان مشاهیر - </t>
  </si>
  <si>
    <t>سمنان,سمنان بلوار قدس،بعد از ميدان عدالت،روبروي سازمان فرهنگي ورزشي شهرداري،انبار آقاي موذنيان-09121314104--(09191319745 انباردار آقاي صداقت)</t>
  </si>
  <si>
    <t>خيابان جمهوري</t>
  </si>
  <si>
    <t>سمنان- خیابان17شهریور- میدان سعدی- بلوار سعدی- روبروی بانک شهر-جنب شهرداری-فروشگاه تاک ، تلفن:02333336915</t>
  </si>
  <si>
    <t>سمنان,سمنان بلوار17 شهريور - روبروي بانک ملت - فروشگاه ياس نوين پارسه سمنان - تلفن  - تلفن همراه :09127318923 آقاي باصري</t>
  </si>
  <si>
    <t>سمنان,شاهرود شاهرود ميدان هفت تير جاده کارخانه قند، 200 متر بعد از تالارکاچيلا، انبارعلي اصغر -09121733051</t>
  </si>
  <si>
    <t>شاهرود- میدان امام خمینی- خ.22بهمن- جنب مخابرات- روبروی ساختمان پزشکان- طبقه زیرین بانک انصار- فروشگاه تاک  ، تلفن:02332243929</t>
  </si>
  <si>
    <t>گرمسار-خیابان امام-روبروی چاپخانه برادران- فروشگاه خاکسار ، تلفن:02334236600</t>
  </si>
  <si>
    <t>گرمسار - ميدان امام - خيابان شيلات سابق - فروشگاه مركزي لوازم خانگي احرار - تلفن:  (احمد پيمبرپي: 09121311283و علي محمدي: 09191323847) - فكس: 023334222544</t>
  </si>
  <si>
    <t>شاهرود-شهرستان میامی - خیابان امام رضا - جنب صندوق قرض الحسنه - فروشگاه شفیعی -</t>
  </si>
  <si>
    <t xml:space="preserve">خيابان شهيد مالکي 5 -- جنب تعاوني 7 -- فروشگاه لوازم خانگي ياس -- جناب آقاي خدري </t>
  </si>
  <si>
    <t>خیابان امام- روبروی بانک مهراقتصاد.لوازم خانگی فارسی</t>
  </si>
  <si>
    <t xml:space="preserve"> زيبا شهر - خيابان ويلا - جنب بانک مسکن - فروشگاه ياس  </t>
  </si>
  <si>
    <t xml:space="preserve">خيابان بهشتي - نبش بهشتي 13 - </t>
  </si>
  <si>
    <t>خیابان دانشجو-نبش دانشجووتوکلی-لوازم خانگی یاس انصارالحسین</t>
  </si>
  <si>
    <t xml:space="preserve"> خيابان امام خميني - جنب بانک انصار - لوازم خانگي آقاي ميرزانيا   </t>
  </si>
  <si>
    <t xml:space="preserve">آباده صغاد  -  خيابان  عدالت  لوازم  خانگي  فجر  آقاي  محسن  رمضاني           </t>
  </si>
  <si>
    <t xml:space="preserve"> بلوار امام - روبروي دبيرستان امام - سمت چپ - فروشگاه بزرگ صمدي  </t>
  </si>
  <si>
    <t xml:space="preserve">  خيابان 22بهمن -- روبروي بانک مسکن -- فروشگاه خانه اسنوا -- آقاي حاج عبدالحسين خرم دل </t>
  </si>
  <si>
    <t>بلوار خاتم الانبياء - حد فاصل خيابان حضرت ابوالفضل و امام - روبروي بانك مهر اقتصاد</t>
  </si>
  <si>
    <t>خیابان پیروزی ( نمازی ) - روبروی پاساژ پیروزی - فروشگاه اسنوا</t>
  </si>
  <si>
    <t xml:space="preserve">/ هفت تن-بلوار نيستان - ابتدای جاده خرامه - نبش کوچه 41 -  فروشگاه مولايي </t>
  </si>
  <si>
    <t xml:space="preserve"> فلکه فرودگاه قدیم- ابتدای بلوار عدالت- ساختمان مرسدس- طبقه زیرین بانک انصار-فروشگاه تاک </t>
  </si>
  <si>
    <t xml:space="preserve"> خيابان طالقاني -- روبروي موسسه ي نور -- لوازم خانگي شکوهي </t>
  </si>
  <si>
    <t xml:space="preserve"> چهار راه روزبه - خيابان معلم - لوازم خانگي گل سرخ جناب آقاي حاج عباس عابدي </t>
  </si>
  <si>
    <t xml:space="preserve"> خيابان 17 شهريور - جنب عکاسي رضایی - لوازم خانگي آقاي طاهري  </t>
  </si>
  <si>
    <t>حدفاصل فلکه سینما و ژاندارمری فروشگاه تیکاب</t>
  </si>
  <si>
    <t xml:space="preserve"> خيابان  الفتح/فرعي  ابوذرلوازم  خانگي  شقايق/فروشگاه  محمدرزمی</t>
  </si>
  <si>
    <r>
      <t>بلوار امام خمینی(ره)-جنب بانک کشاورزی فروشگاه ایثارگران</t>
    </r>
    <r>
      <rPr>
        <sz val="11"/>
        <color rgb="FF002060"/>
        <rFont val="Times New Roman"/>
        <family val="1"/>
      </rPr>
      <t xml:space="preserve">  </t>
    </r>
  </si>
  <si>
    <t xml:space="preserve"> ممسني خ شهيد بهشتي - لوازم خانگي لاله آقای علي اکبر کرمي  </t>
  </si>
  <si>
    <t xml:space="preserve">فارس,ني ريز   خيابان شهيد جمشيد زردشت -- انتهاي بلوار شهيد جمشيد زردشت -- فروشگاه لوازم خانگي زردشت -- جناب آقاي مجيد زردشت </t>
  </si>
  <si>
    <t xml:space="preserve">بلوار امام خميني - جنب خيابان شهيد حسامي / </t>
  </si>
  <si>
    <t xml:space="preserve">خيابان پاسداران - روبروي راهنمائي و رانندگي - فروشگاه سپهراد/ </t>
  </si>
  <si>
    <t xml:space="preserve"> بلوار شهيد بهشتي روبروي پارک شهيد فهميده پلاک 42 فروشگاه وليعصر (ابوالفضل رحماني)</t>
  </si>
  <si>
    <t>خ طالقانی « سینما » جنب مدرسه - فروشگاه الغدیر.</t>
  </si>
  <si>
    <t xml:space="preserve">  انتهاي خيابان خيام شمالي - روبروي قنادي ماه بانو - نبش کوچه اديب (42) - فروشگاه خانه اسنوا - آقاي ابوالفضل باقري</t>
  </si>
  <si>
    <t xml:space="preserve"> بلوار آزادگان - (غياث آباد ) بالاتر از چهار راه سونا - مجتمع مهستان - فروشگاه نصر - آقاي حسيني </t>
  </si>
  <si>
    <t xml:space="preserve">محمديه  بلوار  امام  خميني  منطقه  5  نبش  کوچه  37  پلاک  1  فروشگاه  لوازم  خانگي  برزگر  </t>
  </si>
  <si>
    <t>مینو در بازار بزرگ البرز / قطعه 57   /</t>
  </si>
  <si>
    <t xml:space="preserve"> شريفيه ميدان امام روبروي بانک تجارت فروشگاه لوازم خانگي بهتويي پلاک 482  </t>
  </si>
  <si>
    <t xml:space="preserve">خیابان نوروزیان - نبش حکمت 57- پلاک 1-فروشگاه تاک </t>
  </si>
  <si>
    <t>بلوار مدرس بعد از چهارراه پارک ملت نبش کوچه شهامت، فروشگاه ناک</t>
  </si>
  <si>
    <t>قم-دورشهر - بین کوچه 22 و 24 -  جنب بانک صادرات - پلاک 278 - فروشگاه آقای فلاح</t>
  </si>
  <si>
    <t>قم,قم خ30کيلومتري کيوانفر - نبش ک3- فروشگاه ياس نوين پارسه، آقاي عليزاده</t>
  </si>
  <si>
    <t xml:space="preserve">بلوار امین - ابتدای سالاریه - فروشگاه اسمارت شاپ، خانم امینی </t>
  </si>
  <si>
    <t>قم,قم خ30کيلومتري کيوانفر - نبش کوچه 3 و 5-روبه روی کوچه 6- فروشگاه ياس نوين پارسه، آقاي رمضاني</t>
  </si>
  <si>
    <t>قم - خیابان کیوانفر- نبش کوچه 28- فروشگاه تاک</t>
  </si>
  <si>
    <t>کردستان,بيجار خيابان پاسداران - جنب بانک مسکن - تعاوني فرهنگيان شهرستان بيجار</t>
  </si>
  <si>
    <t xml:space="preserve">ميدان فاضل - خيابان مدرس - لوازم خانگي نيازي و پسران </t>
  </si>
  <si>
    <t xml:space="preserve">کردستان,ديواندره خيابان شهيد محمدي - پلاک 21 - لوازم خانگي پيمان </t>
  </si>
  <si>
    <t>کردستان,سنندج ميدان مادر - خيابان نمکي- روبروي بازرگاني  فروشگاه مجيدي</t>
  </si>
  <si>
    <t>کردستان,سنندج سنندج-خيابان فلسطين-خيابان سيد قطب جنب بانک حکمت فروشگاه فراست يار</t>
  </si>
  <si>
    <t xml:space="preserve">کردستان,قروه خيابان شريعتي - جنب داروخانه شبانه روزي- فروشگاه ياس نوين پارسه قروه آقاي رسمتي </t>
  </si>
  <si>
    <t>قروه - خیابان شهید چمران - نبش کوچه سپیده - لوازم خانگی مرادی</t>
  </si>
  <si>
    <t>قروه - خیابان سیدجمال جنب بانک قوامین - فروشگاه خالدیان</t>
  </si>
  <si>
    <t>کردستان,مريوان بلوار بعثت ( اداره راه قديم ) پايين تر از بانک تجارت - لوازم خانگي آقاي کهنه پوش</t>
  </si>
  <si>
    <t>کردستان,مريوان چهارراه شبرنگ به طرف آتش نشاني روبه روی اتحادیه امور صنفی- داخل پاساژ حاج محمد رئیسی- فروشگاه اسنوا آقاي تکيه خواه 09183750271</t>
  </si>
  <si>
    <t>ارزوييه - خ امام - چهارراه سلطان آباد - لوازم خانگی توس</t>
  </si>
  <si>
    <t xml:space="preserve">بافت بلوار امير كبير روبروي مدرسه شهيد رسولي </t>
  </si>
  <si>
    <t>بردسير خ امام روبروي كوچه برق لوازم خانگي ابستان</t>
  </si>
  <si>
    <t>کرمان,بم خيابان امام خميني -- جنب داروخانه شبانه روزي دکتر ساعي -- لوازم خانگي عامري</t>
  </si>
  <si>
    <t>کرمان,جيرفت چهار راه مهمانپذير خيابان آزادي مجتمع تجاري فاريابي 09365669907</t>
  </si>
  <si>
    <t xml:space="preserve">رفسنجان بلوار طالقانی نبش طالقانی 19فروشگاه لوازم خانگی اسنوا </t>
  </si>
  <si>
    <t>زرند - خيابان شهيد بهشتي - جنب بانك رسالت - لوازم خانگی کاوه، فروشگاه تهامي</t>
  </si>
  <si>
    <t xml:space="preserve">کرمان,سيرجان بلوار سيد جمال جنب مشعل گاز فروشگاه لوازم خانگي توس چيني اقاي محمد حسن پور 09162441359 و آقاي رضايي  09133479265 - یاراحمدی 09136524233 - </t>
  </si>
  <si>
    <t>شهربابك - خيابان امام - نبش ميدان شهدا - فروشگاه عبدلي</t>
  </si>
  <si>
    <t>كرمان  عنبر آباد خ امام چهاراه مسجد جامع لوازم خانگي آرچيليك (حامد)</t>
  </si>
  <si>
    <t>کرمان,کرمان خيابان امام - بعد از چهار راه امام - مقابل بانک مسکن و کوچه شماره 30 - فروشگاه لوازم خانگي کوثر</t>
  </si>
  <si>
    <t>کرمان,کرمان خيابان قرني روبروي سه راه عدالت (بيمه تامين اجتماعي ) فروشگاه پارس تجارت</t>
  </si>
  <si>
    <t>کرمان,کرمان خيابان امام - چهار راه مادر - فروشگاه مير کمالي - آقاي سيد جليل مير کمالي</t>
  </si>
  <si>
    <t xml:space="preserve">خ امام حدفاصل چهاراه طالقانی و میدان قرنی جنب چاپ توحید فروشگاه مستری </t>
  </si>
  <si>
    <t>کرمان-خیابان بهشتی - نبش بهشتی 8- برج ایرانیان اطلس - واحد جی 5-فروشگاه تاک</t>
  </si>
  <si>
    <t>کرمانشاه کيانشهر - بلوار آيت اله توسي - نبش ميدان اول - فروشگاه توژال - آقاي صفري</t>
  </si>
  <si>
    <t>اسلام آباد غرب - خیابان طالقانی - بالاتر از بانک کشاورزی - فروشگاه علی کریمی</t>
  </si>
  <si>
    <t>اسلام آباد غرب - خیابان شهید چمران - روبروی تالار امام رضا - فروشگاه تاک</t>
  </si>
  <si>
    <t>کرمانشاه,پاوه خيابان انقلاب - جنب داروخانه دکتر يوسفي - فروشگاه عزيز زاده - 09187799917</t>
  </si>
  <si>
    <t>پاوه - خیابان انقلاب - روبروی سپاه - لورازم خانگی بکری</t>
  </si>
  <si>
    <t>کرمانشاه,روانسر کرمانشاه - روانسر - خيابان اصلي/ روبروي بانک ملي مرکزي/ فروشگاه برادران احمدي - 09183364428</t>
  </si>
  <si>
    <t>کرمانشاه,سرپل ذهاب کرامانشاه/سرپل ذهاب/ سه راه قصر/ساختمان سينا فروشگاه ساسان-شاپور بشيري منش</t>
  </si>
  <si>
    <t>کرمانشاه,سرپل ذهاب خيابان شهيد رجايي/جنب بانک مسکن/روبروي پاساژ نظري/فروشگاه برادران فلاحي 09183345415</t>
  </si>
  <si>
    <t>سنقر - میدان معلم - خیابان آیت اله خامنه ای - 4راه شهید کاکائی - فروشگاه شهر کالا - آقای انصاری پور</t>
  </si>
  <si>
    <t xml:space="preserve">کرمانشاه,صحنه خيابان آرامگاه/فروشگاه بهاران/آقاي پناه بحق/ پلاک 26 </t>
  </si>
  <si>
    <t>کرمانشاه,صحنه خ کاشاني- بالاتر از شهرداري- فروشگاه پارس، آقاي خاموشي</t>
  </si>
  <si>
    <t>کرمانشاه,قصر شيرين  خيابان شهداء - فروشگاه لوازم خانگي بختياري نيا  -  09181357031</t>
  </si>
  <si>
    <t>کرمانشاه,کرمانشاه - خيابان راهنمايي ورانندگي پايين تر از پارکينگ دادگستري فروشگاه اميريان</t>
  </si>
  <si>
    <t>کرمانشاه - شهرک حافظیه - میدان چقاگلان - جنب بانک انصار - فروشگاه بزرگ ستارگان</t>
  </si>
  <si>
    <t xml:space="preserve">کرمانشاه,کرمانشاه  شهرک تعاون-ايستگاه سوم-فروشگاه لوازم خانگي قائم-آقاي دهکاني  09183337990   </t>
  </si>
  <si>
    <t>کرمانشاه,کرمانشاه  خيابان مدرس پارکينگ شهرداري پاساژ پارک طبقه زير زمين فروشگاه تيموري موبايل</t>
  </si>
  <si>
    <t>کرمانشاه - پارکینگ شهرداری - خیابان حاج محمد تقی  - روبروی مسجد - لوازم خانگی ناصری</t>
  </si>
  <si>
    <t>کرمانشاه - بلوار شهید بهشتی - نرسیده به چهارراه بسیج- روبروی اتوبسرانی- جنب بانک انصار - فروشگاه تاک</t>
  </si>
  <si>
    <t>کرمانشاه,کنگاور بلوار انقلاب روبروي اداره پست لوازم خانگي نظري.تلفن 09181370290</t>
  </si>
  <si>
    <t>کرمانشاه,کنگاور بلوار انقلاب روبروي پارک شاهدلوازم خانگي سوري</t>
  </si>
  <si>
    <t>کرمانشاه,گيلان غرب-جهاد سازندگی- روبروي نانوايي جهاد - - فروشگاه رستميان</t>
  </si>
  <si>
    <t xml:space="preserve"> خيابان فردوسي جنوبي - پايين تر از داروخانه شبانه روزي – لوازم خانگي زاگرس- آقاي پرويز بهمني </t>
  </si>
  <si>
    <t xml:space="preserve">  خیابان معلم- روبه روی شاهد 22- فروشگاه خانه اسنوا - آقاي رضواني </t>
  </si>
  <si>
    <t xml:space="preserve"> شصت متري امام خميني، جنب آموزشگاه رانندگي احتياط، </t>
  </si>
  <si>
    <t xml:space="preserve">یاسوج- خ.هرمزپور- روبروی کلانتری11- جنب رستوران گل مریم- فروشگاه تاک  </t>
  </si>
  <si>
    <t>یاسوج - خیابان شهید  صفیحی- ساختمان آبشار - فروشگاه تاک</t>
  </si>
  <si>
    <t>خيابان شهيد بهشتي - جنب نساجي مازندران -فروشگاه مهرالرضا</t>
  </si>
  <si>
    <t xml:space="preserve">آق قلا فلکه امام خيابان امام بطرف پل قديم دست چپ فروشگاه قره داشلي </t>
  </si>
  <si>
    <t xml:space="preserve">خیابان -آزادي روبروي آزادي9-فروشگاه مغفوري </t>
  </si>
  <si>
    <t xml:space="preserve">خیابان آزادی نبش آزادی 10 -  </t>
  </si>
  <si>
    <t>نرسيده به ريل راه آهن روبروي بانک ملت مرکزي-فروشگاه موسوي-</t>
  </si>
  <si>
    <t xml:space="preserve">خ طالقاني روبروي کوچه اداره برق فروشگاه عباسي </t>
  </si>
  <si>
    <t xml:space="preserve">میدان شهدا-جنب بانک اقتصاد نوین - </t>
  </si>
  <si>
    <t xml:space="preserve"> خ ولي عصر - جنب بانک ایران زمین- فروشگاه حسيني - غلام حسين حسيني </t>
  </si>
  <si>
    <t>خيابان وليعصر، روبروي بانك قوامين، نبش عدالت 9، فروشگاه فرهنگ</t>
  </si>
  <si>
    <t>کردکوی- فلکه شهرداری-روبروی پارک شهر - جنب بانک انصار - فروشگاه تاک</t>
  </si>
  <si>
    <t>خیابان فراغی/ خ مختوم قلی- فروشگاه نوبری - - موبایل : 09111768861</t>
  </si>
  <si>
    <t xml:space="preserve">  خ امام - چهارراه میدان- جنب بانک ثامن الائمه --  فروشگاه درويشي</t>
  </si>
  <si>
    <t xml:space="preserve"> خيابان سر خواجه -- نبش سر خواجه 11 -- فروشگاه لوازم خانگي قاسمي  -</t>
  </si>
  <si>
    <t xml:space="preserve"> خیابان جمهوری - ابتدای 30متری رسالت - فروشگاه تاک </t>
  </si>
  <si>
    <t xml:space="preserve">گنبدکاووس امام خميني جنوبي - روبروي بانک اقتصاد نوين - جنب سينما ايران - فروشگاه جواد ميرزايي - </t>
  </si>
  <si>
    <t xml:space="preserve"> گنبد-خيابان طالقاني بعد از کلانتري 12 جنب دادگاه انقلاب خانه اسنوا فروشگاه عظيمي نيا  </t>
  </si>
  <si>
    <t xml:space="preserve">گنبد کاووس - دور میدان هفده شهریور - فروشگاه تاک </t>
  </si>
  <si>
    <t xml:space="preserve"> خيابان-شهيد عليرضا نرسيده به ميدان مرکزي،جنب موسسه مالي فرشتگان فروشگاه خانه اسنوا آقاي خانلرخاني </t>
  </si>
  <si>
    <t xml:space="preserve"> خيابان امام , روبروي کميته امداد , فروشگاه همراهي  </t>
  </si>
  <si>
    <t xml:space="preserve">خيابان سردارجنگل ,جنب بانک صادرات- فروشگاه اسنوا </t>
  </si>
  <si>
    <t>مقابل مخابرات</t>
  </si>
  <si>
    <t xml:space="preserve">غازیان سامانسر روبروی بانک صادرات </t>
  </si>
  <si>
    <t>_ خيابان امام خميني _ابتداي خيابان خرمشهر _ سينماي سابق _ فروشگاه بخشنده//</t>
  </si>
  <si>
    <t xml:space="preserve"> جنب بانک ملت فروشگاه قائمی </t>
  </si>
  <si>
    <t xml:space="preserve"> بلوار شهيد بهشتي نرسيده به فلکه گاز جنب بانک ملي- فروشگاه ياس نوين پارسه </t>
  </si>
  <si>
    <t xml:space="preserve"> بلوار امام خمینی- بعداز آب وبرق- روبروی مرکز مخابرات ناحیه 6- جنب بانک انصار-فروشگاه تاک</t>
  </si>
  <si>
    <t xml:space="preserve">ابتدای خیابان لاکانی-جنب بانک مسکن فروشگاه تاک </t>
  </si>
  <si>
    <t xml:space="preserve"> شهرک حمیدیان قبل از مسجد الغدیر فروشگاه سپید </t>
  </si>
  <si>
    <t>رستم آباد-بعد ازپل عابرپياده-فروشگاه اخلاقي</t>
  </si>
  <si>
    <t xml:space="preserve"> خيابان امام - روبروي بانك ملي مركزي - ساختمان بلوري - فروشگاه لوازم خانگي بلوري -</t>
  </si>
  <si>
    <t xml:space="preserve"> خيابان سردارجنگل , فروشگاه لوازم خانگي امير</t>
  </si>
  <si>
    <t xml:space="preserve"> خیابان کاشانی جنب گاراژ ماسوله فروشگاه بشکول</t>
  </si>
  <si>
    <t xml:space="preserve"> نبش خیابان شهید بهشتی روبروی شهرداری فروشگاه رضائیان</t>
  </si>
  <si>
    <t xml:space="preserve"> روبروی شهرداری فروشگاه درخشیده</t>
  </si>
  <si>
    <t xml:space="preserve">خيابان شهيد پيروي / نبش پاساژ شاه محمدی / سمت راست /فروشگاه جنرال / آقاي شاهمحمدي </t>
  </si>
  <si>
    <t xml:space="preserve"> خیابان کارگر پلاک 108</t>
  </si>
  <si>
    <t>ازنا - خيابان انقلاب  شمالي - ميدان امام حسين - خيابان شهيد نوري</t>
  </si>
  <si>
    <t>بلوار وليعصر -جنب سپاه ازنا - فروشگاه ياس - محمدرضا جودكي</t>
  </si>
  <si>
    <t>الشتر خیابان شهید رحیمی  غربی فروشگاه لوازم خانگی آزادی</t>
  </si>
  <si>
    <t>الشتر-خیابان آیت ا... کاشانی-روبروی بانک انصار-فروشگاه تاک</t>
  </si>
  <si>
    <t>لرستان,اليگودرز ميدان آزادي - ابتداي خيابان مدرس - جنب دبيرستان نواب - فروشگاه جديدي -فکس:  تلفن :    09360133452</t>
  </si>
  <si>
    <t>لرستان,اليگودرز خيابان امام خميني روبه روي خيابان حجاب فروشگاه وليعصر       آقاي بهروزي -09124754438</t>
  </si>
  <si>
    <t>ابتداي بلوار شرقي - نبش كوچه شهيد چاپلقي - فروشگاه ياس - محمد جهانگيري</t>
  </si>
  <si>
    <t>میدان تهنیت - ابتذای خ شهید گودرزی - پ5 - فروشگاه مهر صالح - بهمن مقداری.</t>
  </si>
  <si>
    <t>ميدان راهنمائي - ابتداي خيابان آزادي-  روبروي سپاه - فروشگاه ياس - علي رضائي</t>
  </si>
  <si>
    <t>لرستان,پلدختر  خيابان هفت تير - روبروي آموزش و پرورش قديم - فروشگاه  مهر -  آقاي اسحاقي</t>
  </si>
  <si>
    <t xml:space="preserve">لرستان,خرم آباد سبزه ميدان - خيابان مجاهدين اسلام - روبه روي کفش ملي لوازم خانگي بابايي -  همراه بابايي     </t>
  </si>
  <si>
    <t>لرستان,خرم آباد گلدشت شرقي - بالاتر از ميدان آرش - خيابان باباطاهر نبش خيابان رز فروشگاه دوو اسنوا</t>
  </si>
  <si>
    <t>لرستان,خرم آباد ميدان شقايق-بلوار بهارستان - نرسیده به جاده صدا و سیما -فروشگاه اسنوا(تخت سليمان)</t>
  </si>
  <si>
    <t>لرستان,خرم آباد خيابان علوي - روبروي بانک انصار - فروشگاه اسنوا - آقاي حجت الله رشنو   09396611274</t>
  </si>
  <si>
    <t>لرستان,خرم آباد خرم اباد-خيابان مطهري شمالي جنب بانک صادرات فروشگاه اکبري</t>
  </si>
  <si>
    <t>لرستان,خرم آباد خيابان علوي  - روبروي بانک پاسارگاد - آقاي اميد زاده       09168884202</t>
  </si>
  <si>
    <t>خرم‌آباد-خیابان 24متری حکیم-نبش کوچه شهید پاکدل- طبقه زیرین بانک انصار- فروشگاه تاک</t>
  </si>
  <si>
    <t>خيابان علوي - جنب بانك انصار - فروشگاه ياس - عليمردان نادري</t>
  </si>
  <si>
    <t>لرستان,درود  خيابان 24متري وليعصر(عج) - بين انتظار 13 و 15 - تعاوني مصرف قند لرستان - آقاي سليمان طيوري - 09169708861</t>
  </si>
  <si>
    <t xml:space="preserve">لرستان,درود خيابان شريعتي-روبه روي پاساژ فدک فروشگاه چشم روشني </t>
  </si>
  <si>
    <t>ميدان هفت تير - ابتداي بلوار جهاد - روبروي بيمه آسيا - فروشگاه ياس - سعيد رحمتي</t>
  </si>
  <si>
    <t>لرستان,کوهدشت خيلبان سپاه - جنب موتوري شهرداري (جنب آموزش وپرورش قديم)لوازم خانگي پرشين گلف</t>
  </si>
  <si>
    <t>کوهدشت خیابان رهبری جنب بانک ملی مرکزی فروشگاه لوازم خانگی گراوند</t>
  </si>
  <si>
    <t>معمولان خیابان امام مقابل بانک کشاورزی فروشگاه جعفری طولابی</t>
  </si>
  <si>
    <t>خيابان آيت الله خامنه اي - نرسيده به خيابان 24 متري - فروشگاه ياس - رضا ترابيان</t>
  </si>
  <si>
    <t xml:space="preserve">نبش سراه ولیعصر فروشگاه لطفی پور - </t>
  </si>
  <si>
    <t xml:space="preserve"> جاده امل به بابل جنب تابلو ورودي شهر بابل فروشگاه بزرگ شهاب </t>
  </si>
  <si>
    <t xml:space="preserve"> بلوار طالقاني ميدان حلال احمر به سمت آمل جنب قنادي لاله پلاک97 فروشکاه مهدي کاظمي </t>
  </si>
  <si>
    <t xml:space="preserve"> جاده قائم شهر - نبش خداداد 15 - فروشگاه تاک </t>
  </si>
  <si>
    <t xml:space="preserve"> خیابان شهید سرگرد قاسمی بعد از بیمارستان شهید بهشتی بین دانش پنج و هفت فروشگاه ایرانیان </t>
  </si>
  <si>
    <t>خيابان پاسداران- جنب سپاه پاسداران - روبروي دانشگاه- فروشگاه ياس -</t>
  </si>
  <si>
    <t>کیلومتر دو جاده ی دریا کنار/ جنب هتل ارغوان شمال/ فروشگاه قاسم  زاده</t>
  </si>
  <si>
    <t xml:space="preserve"> بلوار هاشمی نژاد- روبه روی بانک تجارت - فروشگاه اسنوا </t>
  </si>
  <si>
    <t xml:space="preserve"> بعد از پارک ملت روبروي داروخانه دکتر مجيدي - فروشگاه نادعليزاده </t>
  </si>
  <si>
    <t xml:space="preserve"> ميدان امام - خيابان تختي -پايين تر از اداره بازرگاني  -روبروي نانوايي لواشي - فروشگاه یاس </t>
  </si>
  <si>
    <t xml:space="preserve"> ابتداي خيابان امير کبير/روبروي داروخانه پور اعظم /فروشگاه مهرپور/کيوان مهرپور</t>
  </si>
  <si>
    <t xml:space="preserve"> خیابان سعدی فروشگاه قطبی</t>
  </si>
  <si>
    <t>ابتداي خيابان سعدي</t>
  </si>
  <si>
    <t>آهو دشت - لوازم خانگی راشدی.</t>
  </si>
  <si>
    <t xml:space="preserve"> ميدان امام – روبروي کفش بلا – فروشگاه حلاجيان</t>
  </si>
  <si>
    <t xml:space="preserve"> بلوار کشاورز (راهبند) قبل از سجاد - جنب موبايل فدک فروشگاه خانه اسنوا ميرنژاد موبايل </t>
  </si>
  <si>
    <t xml:space="preserve"> بلوار طالقاني - روبروي شرکت گاز استان مازندران - فروشگاه زنجيره اي  ياس نوين پارسه ساري -</t>
  </si>
  <si>
    <t>بلوار طالقاني روبروي بيمارستان حکمت نبش  خيابان مهيار  فروشگاه نادر وصاف شماره موبايل سينا وصاف</t>
  </si>
  <si>
    <t>امیر مازندرانی/ خ شهوند / انتهای شهوند / لوازم خانگی وانه گستر</t>
  </si>
  <si>
    <t>خيابان آزادي جنب بانك قوامين</t>
  </si>
  <si>
    <t>خيابان شهدا، بعد از آزمايشگاه رازي</t>
  </si>
  <si>
    <t xml:space="preserve"> خيابان ساري- چهار راه جويبار- مجتمع نگين شمال- تعاوني قائم خزر طبرستان </t>
  </si>
  <si>
    <t>کوچکسرا،جنب مسجد رسول، روبروي آژانس خراسان سير، لوازم خانگي قانع گستر،سيداحمد سيدي دوکي</t>
  </si>
  <si>
    <t>خيابان آزادی جنب بازار امیر - روبه روی پاساژ بزرگ - فروشگاه خانه ساحلی</t>
  </si>
  <si>
    <t xml:space="preserve"> خيابان آزادي - جنب پل - فروشگاه آرين - </t>
  </si>
  <si>
    <t xml:space="preserve">ميدان جانبازان - ابتداي جاده نيروگاه - جنب بانک تجارت - فروشگاه وفائيان- حسين وفائيان </t>
  </si>
  <si>
    <t xml:space="preserve"> خيابان پاسداران-روبروي بانک صادرات-لوازم خانگي درياي نور-مصيب صالحي-(مهدي صالحي)</t>
  </si>
  <si>
    <t>خيابان شهيد ناطق نوري، لوازم خانگي عرشيا-</t>
  </si>
  <si>
    <t>خيابان امام، ميدان امام، جنب پاساژ ارجمندي، فروشگاه خانه اسنوا، آقاي ارجمندي -</t>
  </si>
  <si>
    <t xml:space="preserve">  بلوار کريمي / حدفاصل منابع طبيعي و جهاد کشاورزي /فروشگاه خانه اسنوا-مهدي کلاني</t>
  </si>
  <si>
    <t>مرکزي,آشتيان ميدان آزادي-ابتداي خيابان جمهوري اسلامي-فروشگاه امين</t>
  </si>
  <si>
    <t>مرکزی، اراک، خیابان امام خمینی، چهارراه دکتر حسابی، جنب بانک ملی، فروشگاه لوازم خانگی افتخاری</t>
  </si>
  <si>
    <t>خيابان مصطفي خميني - مجتمع آسمان - فروشگاه اسمارت</t>
  </si>
  <si>
    <t xml:space="preserve">مرکزي,اراک شهرستان شاهزند - خيابان امام - جنب بانک رفاه - فروشگاه لوازم خانگي مرکزي - آقاي بني جمالي - زلفقاري   09181603697  </t>
  </si>
  <si>
    <t>مرکزي,اراک خيابان قائم مقام فراهاني روبروي سه راهي لعلي نبش کوچه نبش کوچه شهيد تاج آبادي فروشگاه دوو آقاي اکبري</t>
  </si>
  <si>
    <t xml:space="preserve">مرکزي,اراک کوي امام علي - چهار راه خاتم النبياء -- اول 30 متري -- لوازم خانگي آقاي اسماعيلي </t>
  </si>
  <si>
    <t>مرکزي,اراک خيابان امام خميني (ره) بالاتر از چهار راه قائم مقام روبروي رستوران صميعي فروشگاه ستاره طلائي</t>
  </si>
  <si>
    <t>اراک - خیابان مشهد- نرسیده به فلکه فراهان- جنب بانک انصار - فروشگاه تاک</t>
  </si>
  <si>
    <t>مرکزي,تفرش چهار راه مدرس - پلاک 2137 - فروشگاه جام جم - آقاي علي قاسمي</t>
  </si>
  <si>
    <t>تفرش - خیابان امام خمینی-روبروی مسجد صاحب زمان</t>
  </si>
  <si>
    <t>مرکزي,خمين خيابان قدس - جنب پمپ بنزین قدیم - آقاي عباس مشايخي</t>
  </si>
  <si>
    <t>خمین - خیابان امام خمینی - خیابان شاهد - جنب امام زاده عبدا... - فروشگاه تاک</t>
  </si>
  <si>
    <t>مرکزي,خنداب خنداب - روبروي اداره گاز- لوازم خانگي اکبري - آقاي اکبري</t>
  </si>
  <si>
    <t>مرکزي,دليجان ميدان بسيج - جنب حوزه يک المهدي ( بسيجيان ) - فروشگاه ياس نوين پارسه دليجان  آقاي اسداله حسين زاده</t>
  </si>
  <si>
    <t>مرکزي,ساوه خيابان انقلاب - فروشگاه 110 - پلاک  110 - آقاي کاشاني</t>
  </si>
  <si>
    <t xml:space="preserve">مرکزي,ساوه - خيابان بسيج يک - بين بسيج 33و35فروشگاه برجي </t>
  </si>
  <si>
    <t>مرکزي,فرمهين بلوار شهيد چمران جنب آموزش و پرورش پلاک 2235 فروشگاه صدف</t>
  </si>
  <si>
    <t>مرکزي,کميجان خ امام - ميدان معلم جنب ميدان معلم فروشگاه گلچين پلاک 35           09186017262</t>
  </si>
  <si>
    <t>مرکزي,کميجان خيابان معلم - پايين تر از شرکت تعاوني روستايي - فروشگاه برادران زلفي</t>
  </si>
  <si>
    <t xml:space="preserve">مرکزي,محلات مرکزي محلات خيابان 15 خرداد بوستان 1 آقاي علي حسيني </t>
  </si>
  <si>
    <t>میدان امام خمینی -جنب بانک ملی - لوازم خانگی قصر کالا</t>
  </si>
  <si>
    <t>همدان,اسدآباد اسدآباد ميدان ساعت ابتداي خيابان 15 خرداد جنب پاساژ زنديه فروشگاه سرخوش</t>
  </si>
  <si>
    <t>همدان,اسدآباد خيابان پانزده خرداد - پايين تر از جهاد سازندگي سابق - پلاک 1805 - فروشگاه آقاي فلاح</t>
  </si>
  <si>
    <t>همدان/ تويسرکان/خيابان انقلاب/ نبش کوچه شهيد قاضي/ پلاک 90</t>
  </si>
  <si>
    <t xml:space="preserve">همدان,رزن سه راهي قروه، جنب سپاه ناحيه - فروشگاه رجبي ( بسيجيان)   </t>
  </si>
  <si>
    <t xml:space="preserve">همدان,همدان صالح آباد - خيابان شهيد مطهري - جنب لوازم التحرير - فروشگاه الماس - آقاي مهدي يزداني مدام  </t>
  </si>
  <si>
    <t>همدان,قهاوند خيابان امام - جنب سپاه قهاوند - روبروي بانک ملي - فروشگاه ياس نوين پارسه - آقاي جواد صميمي</t>
  </si>
  <si>
    <t>همدان,کبودر آهنگ خيابان مطهري-فروشگاه اسنوا (فيلکو) آقاي اسماعيلي  09198164623</t>
  </si>
  <si>
    <t>همدان,لالجين بلوار آيت الله خامنه اي - جنب شهرداري - ابتداي بلوار - پلاک 652 - فروشگاه سعيد - آقاي شاهمحمدي  09188146429</t>
  </si>
  <si>
    <t>دستجرد  خيابان  امام  خميني  فروشگاه  لوازم  خانگي  ارغواني</t>
  </si>
  <si>
    <t>همدان,ملاير خيابان شهدا ء- روبروي شهرداري  - فروشگاه ايران – حسني</t>
  </si>
  <si>
    <t xml:space="preserve">همدان,ملاير ميدان امير کبير-ابتداي آذرافرا-پلاک 765 </t>
  </si>
  <si>
    <t>بلوار شهيد حيدري روبر سينما جوان فروشگاه آقاي سراجي</t>
  </si>
  <si>
    <t>همدان,نهاوند نهاوند - چهارراه آزادگان - فروشگاه کاظمي</t>
  </si>
  <si>
    <t>همدان,همدان گل تپه - بلوارفرهنگيان - پايين ترازدبستان دخترانه بنت الهدي جنب جوش کاري عارض</t>
  </si>
  <si>
    <t>همدان,همدان شهرک شهيد مدني - سه راه هنرستان - فروشگاه خانه اسنوا - آقاي افشاري</t>
  </si>
  <si>
    <t>همدان,همدان کبوتر آهنگ - ميدان امام - اول خيابان دستغيب - آقاي ولي اله  شير خاني</t>
  </si>
  <si>
    <t>همدان - خیابان شهداء- نرسیده به میدان شهداء- روبروی بلوار آیت الله تالهی - فروشگاه تاک</t>
  </si>
  <si>
    <t>ابركوه خ شهيد بهشتي خ انقلاب (طاووس) كوچه روبروي بانك رفاه فروشگاه ياس سابق</t>
  </si>
  <si>
    <t>يزد,اردکان خيابان صدر آباد - ساختمان 331 -فروشگاه خانه اسنوا - آقاي محمد حيدر زاده</t>
  </si>
  <si>
    <t>خيابان شهید بهشتی - نبش كوچه ثبت احوال - فروشگاه ياس</t>
  </si>
  <si>
    <t>يزد,مهريز خيابان سيد مصطفي خميني - جنب بانك ملي مركزي - آقاي سيد مهدي حسين زاده</t>
  </si>
  <si>
    <t>خ سلمان فارسي نبش كوچه پارسا 34 فروشگاه كويتي</t>
  </si>
  <si>
    <t>يزد,يزد يزد/خيابان ايرانشهر - روبروي دبيرستان ايرانشهر / فروشگاه خانه اسنوا / ميرشاهي 09132583186</t>
  </si>
  <si>
    <t>بلوار پاكنژاد - روبروي سه راه آبنما - جنب بستني همت</t>
  </si>
  <si>
    <t>یزد- بلوار شهید صدوقی- جنب سپاه- فروشگاه تاک</t>
  </si>
  <si>
    <t>آدرس دفتر: تـهـران-خ حافظ-تقاطع جمهوري-جنب بانك پاسارگاد-گالري مهستان</t>
  </si>
  <si>
    <t>آدرس دفتر: شيراز؛ خيابان اهلي، پلاك 45، فروشگاه رزمي و پسران</t>
  </si>
  <si>
    <t>آدرس دفتر: مشهد؛ خيابان مدرس، مجتمع تجاري نگين، فروشگاه جهانيان</t>
  </si>
  <si>
    <t>آدرس دفتر: تبريز؛ خيابان راه آهن، روبروي اداره قند و شكر، جنب ايران خودرو، نمايندگي قائميان، ساختمان افرا، دفتر آتش سو</t>
  </si>
  <si>
    <t>آدرس دفتر: تبریز؛ خيابان امام، اول خيابان فردوسي، پلاک 7</t>
  </si>
  <si>
    <t xml:space="preserve">آدرس دفتر و انبار: آمل؛ ابتداي جاده هراز- روبروي شالي شاپ   </t>
  </si>
  <si>
    <t>آدرس دفتر: يزد؛ خيابان شهيد رجايي، روبروي داروخانه، فروشگاه لوازم خانگي فلاح زاده</t>
  </si>
  <si>
    <t>آدرس دفتر: رشت؛ خيابان مطهري، مسجد صفي، فروشگاه طلايه</t>
  </si>
  <si>
    <t>آدرس دفتر: تهران؛ خيابان ري، سه راه امين حضور، جنب فالوده فروشی گل رز، پلاک 802</t>
  </si>
  <si>
    <t>آدرس دفتر: دزفول؛ خيابان آفرينش، مقابل خيابان اقبال، كالاي خانگي نظامي پور</t>
  </si>
  <si>
    <t>آدرس انبار: دزفول؛ خيابان كارخانه آرد، مقابل باسكول مركز بار، انبار آقاي نظامي پور (آقاي غفورنيا)</t>
  </si>
  <si>
    <t>آدرس دفتر: اسدآباد؛ خيابان فرهنگ، جنب بانك رفاه، فروشگاه سامسونگ</t>
  </si>
  <si>
    <t>آدرس دفتر: اراک؛ خیابان آیت ا... غفاری، بعد از چهار راه جهرم، فروشگاه مهدی براتی</t>
  </si>
  <si>
    <t>آدرس انبار: اراک؛ سه راهی خمین، شهرک صنعتی شماره یک، انتهای بلوار امیرکبیر، خیابان شایگان، انبار آقای براتی (آقای کمال آبادی)</t>
  </si>
  <si>
    <t>آدرس دفتر: اراك؛ خيابان دكتر حسابي، جنب مدرسه ميرداماد، لوازم خانگي ايمان</t>
  </si>
  <si>
    <t>آدرس دفتر: اهواز؛ خيابان دكتر شريعتي، نبش غفاري، پاساژ عصاره، مغازه شماره 4 فروشگاه نظامي پور</t>
  </si>
  <si>
    <t>آدرس انبار: اهواز؛ اتوبان آيت ا... بهبهاني، جنب ساختمان جديد ايران خودرو زيبايي، كوچه كيومرث، پلاك 12 (آقاي صالحي)</t>
  </si>
  <si>
    <t>آدرس دفتر: بابل؛ خيابان بازار، جنب پاساژ ملت، فروشگاه طهماسبي</t>
  </si>
  <si>
    <t>آدرس انبار: بابل؛ بين بابل و بابلسر، كيلومتر 8 جنب بتن البرز، انبار آقاي كرباسي</t>
  </si>
  <si>
    <t>آدرس دفتر: اردبيل؛ چهارراه امام، فروشگاه لوازم خانگي عبدا…زاده</t>
  </si>
  <si>
    <t>آدرس انبار: اردبيل؛ سي متري سعدي، پلاك 184 انبار آقاي عبدا... زاده</t>
  </si>
  <si>
    <t>آدرس دفتر: كرج؛ خيابان دكتر بهشتي، نبش خيابان فروغي، جنب هتل مرمر، فروشگاه مركزي بوش</t>
  </si>
  <si>
    <t>آدرس دفتر: كرج؛ ميدان شهدا، اول خيابان مظاهري، جنب بانك سينا، فروشگاه شايق</t>
  </si>
  <si>
    <t>آدرس انبار: كرج؛ ابتداي جاده محمدشهر، روبروي ايستگاه مترو، بازار وليعصر، انبار آقاي شايق</t>
  </si>
  <si>
    <t>آدرس دفتر: قم؛ خيابان صفائيه، كوچه 28 چهارراه اول، دست راست، پلاك 81</t>
  </si>
  <si>
    <t>آدرس دفتر: ملارد؛ بلوار رسول اکرم، روبروی بانک صادرات، فروشگاه قربانی</t>
  </si>
  <si>
    <t>آدرس انبار: ملارد؛ بلوار رسول اکرم، روبروی بانک صادرات، انبار فروشگاه قربانی</t>
  </si>
  <si>
    <t>آدرس دفتر: قزوين؛ خيابان عدل، تقاطع خيام، فروشگاه الكترواستيل</t>
  </si>
  <si>
    <t>آدرس انبار: قزوين؛ خيابان عدل، تقاطع خيام، فروشگاه الكترواستيل</t>
  </si>
  <si>
    <t>آدرس دفتر: قزوين؛ جاده قديم تهران، مجاور انبار نفت، پشت نمايشگاه كاميون صادق پور، لوازم خانگي آشتياني</t>
  </si>
  <si>
    <t>آدرس انبار: قزوين؛ جاده قديم تهران، مقابل فرودگاه، پشت مصالح فروشي جوادي، انبار لوازم خانگي آشتياني</t>
  </si>
  <si>
    <t>آدرس دفتر: زنجان؛ ميدان قائم، مجتمع تجاري قائم، طبقه سوم، واحد 301</t>
  </si>
  <si>
    <t>آدرس انبار: زنجان؛ شهرك صنعتي علي آباد، خيابان مرداد، قطعه دوم، جنب بانك صادرات (آقاي بوستان افروز)</t>
  </si>
  <si>
    <t>آدرس دفتر: کرمان؛ خیابان 24 آذر، نبش کوچه 44</t>
  </si>
  <si>
    <t>آدرس انبار: کرمان؛ خیابان 24 آذر، نبش کوچه 44</t>
  </si>
  <si>
    <t xml:space="preserve">آدرس دفتر: گرگان؛ خيابان امام، فروشگاه كميلي </t>
  </si>
  <si>
    <t>آدرس دفتر: بردسكن؛ خيابان امام خميني، نبش امام خميني 7 فروشگاه مرتضي و عليرضا طاهـريان</t>
  </si>
  <si>
    <t>آدرس انبار: بردسكن؛ خيابان فجر شرقي (كمربندي)، روبروي چهارشنبه بازار، انبار آقاي طاهريان</t>
  </si>
  <si>
    <t>آدرس دفتر: شهركرد؛ خيابان کاشانی، روبروی بانک کشاورزی، نبش کوچه 2</t>
  </si>
  <si>
    <t>آدرس انبار: شهركرد؛ بلوار مفتح، خيابان عمان، ساختمان سامان</t>
  </si>
  <si>
    <t>آدرس دفتر: بروجرد؛ خيابان شهدا، فروشگاه لوازم خانگي نيك كالا</t>
  </si>
  <si>
    <t>آدرس انبار: بروجرد؛ خيابان شهدا، ميدان شهدا، ابتداي خيابان دكتر فاطمي، كوچه مستعد، پلاك 3و5 (آقاي كريمي)</t>
  </si>
  <si>
    <t>آدرس دفتر: الشتر؛ خیابان امام، نبش پاساژ رضائی، لوازم خانگی بابائی</t>
  </si>
  <si>
    <t>آدرس انبار: الشتر؛ خیابان امام، نبش پاساژ رضائی، لوازم خانگی بابائی</t>
  </si>
  <si>
    <t>آدرس دفتر: دامغان؛ خيابان شهيد مطهري، بعد از سه راه خيام، فروشگاه احمديان</t>
  </si>
  <si>
    <t>آدرس انبار: دامغان؛ شهرك صنعتي، پژوهش 7 انبار آقاي احمديان</t>
  </si>
  <si>
    <t>آدرس دفتر: نيشابور؛ ميدان آزادي، فروشگاه الكترواستيل</t>
  </si>
  <si>
    <t>آدرس دفتر: كرمانشاه؛ خيابان شهيد اشك تلخ، نبش كوچه دالان پيري، پلاك 48و49و50</t>
  </si>
  <si>
    <t>آدرس انبار: كرمانشاه؛ خيابان شريعتي، بالاتر از دادسرا، زير مجتمع هما (آقاي نوري)</t>
  </si>
  <si>
    <t>آدرس دفتر: اليگودرز؛ ميدان امام خميني، خيابان طالقاني شمالي، بازارچه سركمر، فروشگاه ديبا، نمايندگي ال جي</t>
  </si>
  <si>
    <t>آدرس انبار: اليگودرز؛ ميدان امام خميني، خيابان طالقاني شمالي، بازارچه سركمر، فروشگاه ديبا، نمايندگي ال جي</t>
  </si>
  <si>
    <t>آدرس دفتر: بوشهر؛ خيابان انقلاب، شركت بازرگاني گل سرخ (هماهنگي با آقاي گنجيان 09179703873)</t>
  </si>
  <si>
    <t>04134226232</t>
  </si>
  <si>
    <t>04133223553</t>
  </si>
  <si>
    <t>04143333767</t>
  </si>
  <si>
    <t>04137739456</t>
  </si>
  <si>
    <t>04134429723</t>
  </si>
  <si>
    <t>04135568809</t>
  </si>
  <si>
    <t>04133347481</t>
  </si>
  <si>
    <t>04112874747</t>
  </si>
  <si>
    <t>04134766593</t>
  </si>
  <si>
    <t>04136342612</t>
  </si>
  <si>
    <t>04133371309</t>
  </si>
  <si>
    <t>04152722313</t>
  </si>
  <si>
    <t>04143227038</t>
  </si>
  <si>
    <t>04143225180</t>
  </si>
  <si>
    <t xml:space="preserve">   04142423388</t>
  </si>
  <si>
    <t xml:space="preserve"> 04142421257</t>
  </si>
  <si>
    <t xml:space="preserve"> 04137623828</t>
  </si>
  <si>
    <t xml:space="preserve"> 04137622944</t>
  </si>
  <si>
    <t xml:space="preserve"> 04142235169</t>
  </si>
  <si>
    <t>04137824577</t>
  </si>
  <si>
    <t>04152224966</t>
  </si>
  <si>
    <t>04152229335</t>
  </si>
  <si>
    <t>04142048000</t>
  </si>
  <si>
    <t>04143433643</t>
  </si>
  <si>
    <t>04433674598</t>
  </si>
  <si>
    <t>04432769745</t>
  </si>
  <si>
    <t xml:space="preserve"> 04432221194</t>
  </si>
  <si>
    <t>04432225281</t>
  </si>
  <si>
    <t>04433684313</t>
  </si>
  <si>
    <t>04444222111</t>
  </si>
  <si>
    <t>04444231116</t>
  </si>
  <si>
    <t>04434265170</t>
  </si>
  <si>
    <t>04434263005</t>
  </si>
  <si>
    <t>04436440731</t>
  </si>
  <si>
    <t>04446323055</t>
  </si>
  <si>
    <t>0446333472</t>
  </si>
  <si>
    <t>04436729820</t>
  </si>
  <si>
    <t>04436722160</t>
  </si>
  <si>
    <t>04434242225</t>
  </si>
  <si>
    <t>04442241944</t>
  </si>
  <si>
    <t>04445226225</t>
  </si>
  <si>
    <t xml:space="preserve">  04435622144</t>
  </si>
  <si>
    <t>04533335126</t>
  </si>
  <si>
    <t>04533524673</t>
  </si>
  <si>
    <t>04533363221</t>
  </si>
  <si>
    <t>04533724901</t>
  </si>
  <si>
    <t xml:space="preserve">04532790016  </t>
  </si>
  <si>
    <t>04532824789</t>
  </si>
  <si>
    <t>04532723279</t>
  </si>
  <si>
    <t>04532722777</t>
  </si>
  <si>
    <t>04532434676</t>
  </si>
  <si>
    <t xml:space="preserve">04532423112   </t>
  </si>
  <si>
    <t>0453260008</t>
  </si>
  <si>
    <t>04532532939</t>
  </si>
  <si>
    <t>04532328149</t>
  </si>
  <si>
    <t>54248220</t>
  </si>
  <si>
    <t>03132236701</t>
  </si>
  <si>
    <t>32331913</t>
  </si>
  <si>
    <t>03132211818</t>
  </si>
  <si>
    <t>37864811</t>
  </si>
  <si>
    <t>32237401</t>
  </si>
  <si>
    <t>37482761</t>
  </si>
  <si>
    <t>03133456317</t>
  </si>
  <si>
    <t>03132239750</t>
  </si>
  <si>
    <t>36259740</t>
  </si>
  <si>
    <t>42220297</t>
  </si>
  <si>
    <t>33676360</t>
  </si>
  <si>
    <t>57222918</t>
  </si>
  <si>
    <t>03152211399</t>
  </si>
  <si>
    <t>03232258789</t>
  </si>
  <si>
    <t>03154374061</t>
  </si>
  <si>
    <t>45225875</t>
  </si>
  <si>
    <t>45221218</t>
  </si>
  <si>
    <t>03153239437</t>
  </si>
  <si>
    <t>53232350</t>
  </si>
  <si>
    <t>57594978</t>
  </si>
  <si>
    <t>37421095</t>
  </si>
  <si>
    <t>37421550</t>
  </si>
  <si>
    <t>52600156</t>
  </si>
  <si>
    <t>37506246</t>
  </si>
  <si>
    <t>55242716</t>
  </si>
  <si>
    <t>37489033</t>
  </si>
  <si>
    <t>03157425713</t>
  </si>
  <si>
    <t>03155225142</t>
  </si>
  <si>
    <t>46259771</t>
  </si>
  <si>
    <t>42232969</t>
  </si>
  <si>
    <t>42740274</t>
  </si>
  <si>
    <t>02645267919</t>
  </si>
  <si>
    <t>02634511046</t>
  </si>
  <si>
    <t>02165169913</t>
  </si>
  <si>
    <t>02636500749</t>
  </si>
  <si>
    <t>02634643434</t>
  </si>
  <si>
    <t>02636318893</t>
  </si>
  <si>
    <t>02636678425</t>
  </si>
  <si>
    <t>02634712317</t>
  </si>
  <si>
    <t>02634580087</t>
  </si>
  <si>
    <t>02634451566</t>
  </si>
  <si>
    <t>02644224454</t>
  </si>
  <si>
    <t>08413382221</t>
  </si>
  <si>
    <t>08413340808</t>
  </si>
  <si>
    <t>08433232732</t>
  </si>
  <si>
    <t>08427222530</t>
  </si>
  <si>
    <t>08424223125</t>
  </si>
  <si>
    <t>07735223774</t>
  </si>
  <si>
    <t>07734242117</t>
  </si>
  <si>
    <t>07733543607</t>
  </si>
  <si>
    <t>07727622053</t>
  </si>
  <si>
    <t>07735329541</t>
  </si>
  <si>
    <t>02832225876</t>
  </si>
  <si>
    <t>02156621190</t>
  </si>
  <si>
    <t>03834342868</t>
  </si>
  <si>
    <t>03834228501</t>
  </si>
  <si>
    <t>03832623477</t>
  </si>
  <si>
    <t>03814421413</t>
  </si>
  <si>
    <t>03832261653</t>
  </si>
  <si>
    <t>03833224150</t>
  </si>
  <si>
    <t>332424457</t>
  </si>
  <si>
    <t>03834448909</t>
  </si>
  <si>
    <t>05632222749</t>
  </si>
  <si>
    <t>05612223706</t>
  </si>
  <si>
    <t>05632214439</t>
  </si>
  <si>
    <t>05632828600</t>
  </si>
  <si>
    <t>05632722542</t>
  </si>
  <si>
    <t xml:space="preserve"> 05152520821</t>
  </si>
  <si>
    <t>05152270052</t>
  </si>
  <si>
    <t>05146126483</t>
  </si>
  <si>
    <t xml:space="preserve">05144653701 </t>
  </si>
  <si>
    <t>05134528825</t>
  </si>
  <si>
    <t>05147237350</t>
  </si>
  <si>
    <t>05328223781</t>
  </si>
  <si>
    <t>05138403494</t>
  </si>
  <si>
    <t>05137138121</t>
  </si>
  <si>
    <t>43 - 35225246</t>
  </si>
  <si>
    <t>38535193</t>
  </si>
  <si>
    <t>05132791337</t>
  </si>
  <si>
    <t>05138939328</t>
  </si>
  <si>
    <t>051384688117</t>
  </si>
  <si>
    <t>05132893535</t>
  </si>
  <si>
    <t>05138511218</t>
  </si>
  <si>
    <t>05143331144</t>
  </si>
  <si>
    <t>05142216690</t>
  </si>
  <si>
    <t>05143357574</t>
  </si>
  <si>
    <t>05142240000</t>
  </si>
  <si>
    <t>32923316  058</t>
  </si>
  <si>
    <t>5832923890</t>
  </si>
  <si>
    <t>05857239767</t>
  </si>
  <si>
    <t>0585832250107</t>
  </si>
  <si>
    <t>05832256063</t>
  </si>
  <si>
    <t>05832720493</t>
  </si>
  <si>
    <t>5832225049</t>
  </si>
  <si>
    <t>05832272251</t>
  </si>
  <si>
    <t>05836425686</t>
  </si>
  <si>
    <t>06153322011</t>
  </si>
  <si>
    <t>06153328420</t>
  </si>
  <si>
    <t>06142623300</t>
  </si>
  <si>
    <t>06133796164</t>
  </si>
  <si>
    <t>06132235185</t>
  </si>
  <si>
    <t xml:space="preserve">06132261166 </t>
  </si>
  <si>
    <t>06112228377</t>
  </si>
  <si>
    <t>06135532207</t>
  </si>
  <si>
    <t>06132218599</t>
  </si>
  <si>
    <t>06132213144</t>
  </si>
  <si>
    <t>06143650511</t>
  </si>
  <si>
    <t>06143722653</t>
  </si>
  <si>
    <t>06522352553</t>
  </si>
  <si>
    <t>06152870490</t>
  </si>
  <si>
    <t>06153512855</t>
  </si>
  <si>
    <t>06142221844</t>
  </si>
  <si>
    <t>06912222654</t>
  </si>
  <si>
    <t>061324222620</t>
  </si>
  <si>
    <t>06142824473</t>
  </si>
  <si>
    <t>06126230023</t>
  </si>
  <si>
    <t>06152342340</t>
  </si>
  <si>
    <t>02432822289</t>
  </si>
  <si>
    <t>02435262975</t>
  </si>
  <si>
    <t>02435264950</t>
  </si>
  <si>
    <t>02434222445</t>
  </si>
  <si>
    <t>02433581957</t>
  </si>
  <si>
    <t xml:space="preserve"> 02433562464</t>
  </si>
  <si>
    <t xml:space="preserve"> 02433530330 </t>
  </si>
  <si>
    <t>02433465856</t>
  </si>
  <si>
    <t>02433320169</t>
  </si>
  <si>
    <t>02432822882</t>
  </si>
  <si>
    <t>02435822056/8</t>
  </si>
  <si>
    <t>02333446861</t>
  </si>
  <si>
    <t>:02333333532</t>
  </si>
  <si>
    <t>05432244060</t>
  </si>
  <si>
    <t>05433286998</t>
  </si>
  <si>
    <t>05433261137</t>
  </si>
  <si>
    <t>05433434416</t>
  </si>
  <si>
    <t>07144335746</t>
  </si>
  <si>
    <t>07522223667</t>
  </si>
  <si>
    <t>07144526575</t>
  </si>
  <si>
    <t xml:space="preserve">07154227507 </t>
  </si>
  <si>
    <t>07132227149</t>
  </si>
  <si>
    <t>07137310359</t>
  </si>
  <si>
    <t>07138311626</t>
  </si>
  <si>
    <t>07153351717</t>
  </si>
  <si>
    <t>07138720114</t>
  </si>
  <si>
    <t>54522287  071</t>
  </si>
  <si>
    <t>07142221999</t>
  </si>
  <si>
    <t>07212228221</t>
  </si>
  <si>
    <t>37824518</t>
  </si>
  <si>
    <t>07142547302</t>
  </si>
  <si>
    <t>07153830740</t>
  </si>
  <si>
    <t>02832824949</t>
  </si>
  <si>
    <t>02834221069</t>
  </si>
  <si>
    <t>02825236363</t>
  </si>
  <si>
    <t>02833331636</t>
  </si>
  <si>
    <t xml:space="preserve"> 02833684545</t>
  </si>
  <si>
    <t>02822577777</t>
  </si>
  <si>
    <t>02433787369</t>
  </si>
  <si>
    <t>02832372402</t>
  </si>
  <si>
    <t>02833692408</t>
  </si>
  <si>
    <t>2537742004</t>
  </si>
  <si>
    <t>2536605906</t>
  </si>
  <si>
    <t>02532941240</t>
  </si>
  <si>
    <t>02536705665</t>
  </si>
  <si>
    <t>08738227165</t>
  </si>
  <si>
    <t>08738721825</t>
  </si>
  <si>
    <t>08733281775</t>
  </si>
  <si>
    <t>08735231113</t>
  </si>
  <si>
    <t>8735222367</t>
  </si>
  <si>
    <t>8735223421</t>
  </si>
  <si>
    <t>08734545687</t>
  </si>
  <si>
    <t>08753226771</t>
  </si>
  <si>
    <t>03442480218</t>
  </si>
  <si>
    <t>03442426484</t>
  </si>
  <si>
    <t>03433524815</t>
  </si>
  <si>
    <t>03444312391</t>
  </si>
  <si>
    <t>03443264191</t>
  </si>
  <si>
    <t>03434262491</t>
  </si>
  <si>
    <t>03433425893</t>
  </si>
  <si>
    <t>03442300312</t>
  </si>
  <si>
    <t>03434118871</t>
  </si>
  <si>
    <t>03443292564</t>
  </si>
  <si>
    <t>03433343678</t>
  </si>
  <si>
    <t>03412226164</t>
  </si>
  <si>
    <t>03433352298</t>
  </si>
  <si>
    <t>03432226718</t>
  </si>
  <si>
    <t>03432437947</t>
  </si>
  <si>
    <t>08338325549</t>
  </si>
  <si>
    <t>8345243296</t>
  </si>
  <si>
    <t>08345246201</t>
  </si>
  <si>
    <t>08346122315</t>
  </si>
  <si>
    <t>08346524990</t>
  </si>
  <si>
    <t>08342231257</t>
  </si>
  <si>
    <t>08342229163</t>
  </si>
  <si>
    <t>8348425599</t>
  </si>
  <si>
    <t>08348325757</t>
  </si>
  <si>
    <t>08348322507</t>
  </si>
  <si>
    <t>08354222177</t>
  </si>
  <si>
    <t>08338225140</t>
  </si>
  <si>
    <t>8338365910</t>
  </si>
  <si>
    <t>08334232467</t>
  </si>
  <si>
    <t>08317275299</t>
  </si>
  <si>
    <t>08338250008</t>
  </si>
  <si>
    <t>08348230668</t>
  </si>
  <si>
    <t>08348233922</t>
  </si>
  <si>
    <t>08343223404</t>
  </si>
  <si>
    <t>07432269847</t>
  </si>
  <si>
    <t>07433235502</t>
  </si>
  <si>
    <t>07433230092</t>
  </si>
  <si>
    <t>074-3228712</t>
  </si>
  <si>
    <t>01735729046</t>
  </si>
  <si>
    <t>01735228282</t>
  </si>
  <si>
    <t>01734433188</t>
  </si>
  <si>
    <t>34429203</t>
  </si>
  <si>
    <t>01734364026</t>
  </si>
  <si>
    <t>01735863199</t>
  </si>
  <si>
    <t>01734229580</t>
  </si>
  <si>
    <t>01734345096</t>
  </si>
  <si>
    <t>01734347814</t>
  </si>
  <si>
    <t>07134354299</t>
  </si>
  <si>
    <t>01735420949</t>
  </si>
  <si>
    <t>01712241182</t>
  </si>
  <si>
    <t>01732222330</t>
  </si>
  <si>
    <t>01732432799</t>
  </si>
  <si>
    <t>01733228923</t>
  </si>
  <si>
    <t>01733337823</t>
  </si>
  <si>
    <t>01735222476</t>
  </si>
  <si>
    <t>01344837994</t>
  </si>
  <si>
    <t xml:space="preserve"> 01424222261</t>
  </si>
  <si>
    <t>01342122401</t>
  </si>
  <si>
    <t>01344426178</t>
  </si>
  <si>
    <t>01344222820</t>
  </si>
  <si>
    <t>01334422466</t>
  </si>
  <si>
    <t xml:space="preserve">01333338530 </t>
  </si>
  <si>
    <t>01333606138</t>
  </si>
  <si>
    <t>01333234484</t>
  </si>
  <si>
    <t>01333510885</t>
  </si>
  <si>
    <t>01326372314</t>
  </si>
  <si>
    <t xml:space="preserve"> 01342622977</t>
  </si>
  <si>
    <t xml:space="preserve"> 01344325072</t>
  </si>
  <si>
    <t>01334734686</t>
  </si>
  <si>
    <t xml:space="preserve"> 01334553713</t>
  </si>
  <si>
    <t>01342534865</t>
  </si>
  <si>
    <t>01334602751</t>
  </si>
  <si>
    <t>01344651320</t>
  </si>
  <si>
    <t>06643429932</t>
  </si>
  <si>
    <t>06643424632</t>
  </si>
  <si>
    <t>6632521324</t>
  </si>
  <si>
    <t>06632521862</t>
  </si>
  <si>
    <t>06643320313</t>
  </si>
  <si>
    <t>06643335608</t>
  </si>
  <si>
    <t>06643328300</t>
  </si>
  <si>
    <t>06642508167</t>
  </si>
  <si>
    <t>06642629816</t>
  </si>
  <si>
    <t>06632229360</t>
  </si>
  <si>
    <t>06633302479</t>
  </si>
  <si>
    <t>06633437992</t>
  </si>
  <si>
    <t>06633425433</t>
  </si>
  <si>
    <t>06633329661</t>
  </si>
  <si>
    <t>06633202608</t>
  </si>
  <si>
    <t>06612210495</t>
  </si>
  <si>
    <t>06633327032</t>
  </si>
  <si>
    <t>06633326099</t>
  </si>
  <si>
    <t>06643241738</t>
  </si>
  <si>
    <t>06643228240</t>
  </si>
  <si>
    <t>06632637320</t>
  </si>
  <si>
    <t>6632628919</t>
  </si>
  <si>
    <t>6632254166</t>
  </si>
  <si>
    <t>06632724900</t>
  </si>
  <si>
    <t>6632729598</t>
  </si>
  <si>
    <t>01132044490</t>
  </si>
  <si>
    <t>01132299414</t>
  </si>
  <si>
    <t>01132252966</t>
  </si>
  <si>
    <t>01132252488</t>
  </si>
  <si>
    <t>01135365544</t>
  </si>
  <si>
    <t>01134525631</t>
  </si>
  <si>
    <t>01525224926</t>
  </si>
  <si>
    <t>01154226004</t>
  </si>
  <si>
    <t>01924222628</t>
  </si>
  <si>
    <t>04152224734</t>
  </si>
  <si>
    <t>01144627710</t>
  </si>
  <si>
    <t>01155250235</t>
  </si>
  <si>
    <t xml:space="preserve">01133245037 </t>
  </si>
  <si>
    <t>01142453620</t>
  </si>
  <si>
    <t>01142084916</t>
  </si>
  <si>
    <t>01142256900</t>
  </si>
  <si>
    <t>01144745642</t>
  </si>
  <si>
    <t>01144743593</t>
  </si>
  <si>
    <t xml:space="preserve">  01525622373</t>
  </si>
  <si>
    <t>01226223364</t>
  </si>
  <si>
    <t>01144527074</t>
  </si>
  <si>
    <t xml:space="preserve"> 01144526162</t>
  </si>
  <si>
    <t>01913236336</t>
  </si>
  <si>
    <t>37226330</t>
  </si>
  <si>
    <t>08632229281</t>
  </si>
  <si>
    <t>08634064521</t>
  </si>
  <si>
    <t>08638225390</t>
  </si>
  <si>
    <t>08633246591</t>
  </si>
  <si>
    <t>08632788278</t>
  </si>
  <si>
    <t>08632243636</t>
  </si>
  <si>
    <t>08632265034</t>
  </si>
  <si>
    <t>08636224159</t>
  </si>
  <si>
    <t>36223673</t>
  </si>
  <si>
    <t>08646221331</t>
  </si>
  <si>
    <t>08646229881</t>
  </si>
  <si>
    <t>35622490</t>
  </si>
  <si>
    <t>08644228577</t>
  </si>
  <si>
    <t>08642222159</t>
  </si>
  <si>
    <t>08642462330</t>
  </si>
  <si>
    <t>08635452321</t>
  </si>
  <si>
    <t>08635452665</t>
  </si>
  <si>
    <t>08663223303</t>
  </si>
  <si>
    <t>38627090</t>
  </si>
  <si>
    <t>08133125318</t>
  </si>
  <si>
    <t>08133114620</t>
  </si>
  <si>
    <t>08134940420</t>
  </si>
  <si>
    <t>08136223819</t>
  </si>
  <si>
    <t>08134622390</t>
  </si>
  <si>
    <t>08138462646</t>
  </si>
  <si>
    <t>08135222259</t>
  </si>
  <si>
    <t>08134528445</t>
  </si>
  <si>
    <t>08124532363</t>
  </si>
  <si>
    <t>08132229727</t>
  </si>
  <si>
    <t>08132251008</t>
  </si>
  <si>
    <t>08133248614</t>
  </si>
  <si>
    <t>0852320606</t>
  </si>
  <si>
    <t>08134280052</t>
  </si>
  <si>
    <t>08135226696</t>
  </si>
  <si>
    <t>08132676662</t>
  </si>
  <si>
    <t>32821020</t>
  </si>
  <si>
    <t>03532227788</t>
  </si>
  <si>
    <t>03532233951</t>
  </si>
  <si>
    <t>03532531700</t>
  </si>
  <si>
    <t>32322244</t>
  </si>
  <si>
    <t>36265527</t>
  </si>
  <si>
    <t>03537250072</t>
  </si>
  <si>
    <t>66746066 - 09194591492</t>
  </si>
  <si>
    <t>09171028316-32332478</t>
  </si>
  <si>
    <t xml:space="preserve">6-32211904 </t>
  </si>
  <si>
    <t>34435924-5</t>
  </si>
  <si>
    <t>09141141314-35535974</t>
  </si>
  <si>
    <t>43125000</t>
  </si>
  <si>
    <t>36821794</t>
  </si>
  <si>
    <t>09113326830-2223982</t>
  </si>
  <si>
    <t>33544582-3</t>
  </si>
  <si>
    <t>42233757</t>
  </si>
  <si>
    <t>09166430597</t>
  </si>
  <si>
    <t>33124065</t>
  </si>
  <si>
    <t xml:space="preserve">09183632995  </t>
  </si>
  <si>
    <t>09189581142 - 3-32212621</t>
  </si>
  <si>
    <t>2227301</t>
  </si>
  <si>
    <t>32923643-تهران26603243-021</t>
  </si>
  <si>
    <t>09166008640 - 09396008640</t>
  </si>
  <si>
    <t>6-32224002</t>
  </si>
  <si>
    <t>33246262</t>
  </si>
  <si>
    <t>09353878614 - 32221221</t>
  </si>
  <si>
    <t xml:space="preserve"> 3-37745302</t>
  </si>
  <si>
    <t>09121547153 - 65994014</t>
  </si>
  <si>
    <t>09126000518 - 33332813</t>
  </si>
  <si>
    <t>09121811340 - 33561074</t>
  </si>
  <si>
    <t>4-33468230</t>
  </si>
  <si>
    <t>09127433488</t>
  </si>
  <si>
    <t>32454346 - 09131404701</t>
  </si>
  <si>
    <t>09131402059</t>
  </si>
  <si>
    <t>09121233788 - 32222381</t>
  </si>
  <si>
    <t>09153321042 - 7227011</t>
  </si>
  <si>
    <t>09133588418 - 55422727-</t>
  </si>
  <si>
    <t>09131819115 - 32221561</t>
  </si>
  <si>
    <t>42628544</t>
  </si>
  <si>
    <t>09161622195</t>
  </si>
  <si>
    <t>09166671585 - 33326022</t>
  </si>
  <si>
    <t>09124312312 - 35235051</t>
  </si>
  <si>
    <t xml:space="preserve"> 42216010</t>
  </si>
  <si>
    <t>37232227</t>
  </si>
  <si>
    <t>09163640112 - 2227212</t>
  </si>
  <si>
    <t>33325561</t>
  </si>
  <si>
    <t>33221448</t>
  </si>
  <si>
    <t>09161612782</t>
  </si>
  <si>
    <t>2246872-32246872-09173616101</t>
  </si>
  <si>
    <t>33291105-09181711763-</t>
  </si>
  <si>
    <t xml:space="preserve">02324239100-5   </t>
  </si>
  <si>
    <t>03412454345-8 - 09131404701 (انبار:09132992580آقاي افضلي) 03412454347 فاكس                       انبارسيرجان: 09136633996-03455221788</t>
  </si>
  <si>
    <t xml:space="preserve">09166652451-06624449597-انبار42449597             </t>
  </si>
  <si>
    <t>09144484900اصغري- 09141477494مقربي-32237869-</t>
  </si>
  <si>
    <t xml:space="preserve">  5-32731500   09131180586</t>
  </si>
  <si>
    <t>--0935787386509168552250-33329660</t>
  </si>
  <si>
    <t>02536617122-23---09121511109</t>
  </si>
  <si>
    <t>36568841-041 , 36564471-041 , همراه : قنبري09144145518</t>
  </si>
  <si>
    <t>آدرس دفتر: خرم آباد؛ خیابان جلال آل احمد، فروشگاه لوازم خانگی گلچین</t>
  </si>
  <si>
    <t>آدرس انبار: خرم آباد؛ میدان ناصر خسرو، بالاتر از میدان، سمت راست، انبار آقای منتی</t>
  </si>
  <si>
    <t>بندر عباس -سه راه دلگشا- فروشگاه لوازم خانگي سينجر</t>
  </si>
  <si>
    <t>آدرس فروشگاه : سنندج - خيابان انقلاب - بازار والي- فروشگاه كارو -كدپستي: 33784-66178 آدرس انبار: سنندج - ميدان جهاد - ابتداي جاده دوشان- جنب ساراي همياري- سوله شخصي مجيدي</t>
  </si>
  <si>
    <t>آدرس : گرمسار - خ امام خميني - جنب بانك سپه مركزي</t>
  </si>
  <si>
    <t>آدرس دفتر: كرمان - انتهاي خيابان 24آذر- نبش كوچه 44- بازرگاني برادران نجمي آدرس انبار: كرمان - طاهرآباد - نبش كوچه 18-آدرس انبار سيرجان: بلوار عباس پور - خيابان تابان</t>
  </si>
  <si>
    <r>
      <rPr>
        <u/>
        <sz val="11"/>
        <rFont val="Times New Roman"/>
        <family val="1"/>
      </rPr>
      <t>آدرس انبار شماره1</t>
    </r>
    <r>
      <rPr>
        <sz val="11"/>
        <rFont val="Times New Roman"/>
        <family val="1"/>
      </rPr>
      <t>: بروجرد-ميدان راهنمايي- خيابان امام حسين - خيابان آتش نشاني( تاكسيراني) پلاك 37</t>
    </r>
    <r>
      <rPr>
        <u/>
        <sz val="11"/>
        <rFont val="Times New Roman"/>
        <family val="1"/>
      </rPr>
      <t xml:space="preserve">آدرس انبار شماره 2: </t>
    </r>
    <r>
      <rPr>
        <sz val="11"/>
        <rFont val="Times New Roman"/>
        <family val="1"/>
      </rPr>
      <t xml:space="preserve"> بروجرد-خيابان امام حسين-پشت داروخانه عدالت- پلاك 20- </t>
    </r>
    <r>
      <rPr>
        <u/>
        <sz val="11"/>
        <rFont val="Times New Roman"/>
        <family val="1"/>
      </rPr>
      <t>آدرس دفتر</t>
    </r>
    <r>
      <rPr>
        <sz val="11"/>
        <rFont val="Times New Roman"/>
        <family val="1"/>
      </rPr>
      <t>: خيابان امام حسين - روبروي داروخانه عدالت - فروشگاه وليعصر (عج)-كدپستي: 64447-69186</t>
    </r>
  </si>
  <si>
    <t>آدرس دفتر: اروميه- خيابان بعثت- جنب بانك انصار- فروشگاه مقربي- كد پستي:35543-57171</t>
  </si>
  <si>
    <t>آدرس دفتر: اصفهان - خ هشت بهشت غربي - بين ملك و نشاط- فروشگاه سامسونگ -كدپستي:81546-45411  آدرس انبار</t>
  </si>
  <si>
    <t>آدرس دفترو انبار:خرم آباد - خيابان علوي- روبروي بانك پاسارگاد - فروشگاه لوازم خانگي رشنو-كدپستي :6813944879 آ</t>
  </si>
  <si>
    <t>آدرس: قم</t>
  </si>
  <si>
    <t>آدرس: تبریز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</si>
</sst>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02060"/>
      <name val="Times New Roman"/>
      <family val="1"/>
    </font>
    <font>
      <sz val="11"/>
      <name val="Times New Roman"/>
      <family val="1"/>
    </font>
    <font>
      <sz val="12"/>
      <name val="B Nazanin"/>
      <charset val="178"/>
    </font>
    <font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2">
    <xf numFmtId="0" fontId="0" fillId="0" borderId="0" xfId="0"/>
    <xf numFmtId="0" fontId="6" fillId="2" borderId="1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6" xfId="4"/>
    <cellStyle name="Normal 7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2"/>
  <sheetViews>
    <sheetView rightToLeft="1" tabSelected="1" topLeftCell="A1601" workbookViewId="0">
      <selection activeCell="B1601" sqref="B1601"/>
    </sheetView>
  </sheetViews>
  <sheetFormatPr defaultRowHeight="18.5"/>
  <cols>
    <col min="1" max="1" width="19.90625" style="1" bestFit="1" customWidth="1"/>
    <col min="2" max="2" width="44.81640625" style="1" bestFit="1" customWidth="1"/>
    <col min="3" max="3" width="19.90625" style="1" bestFit="1" customWidth="1"/>
    <col min="4" max="4" width="166" style="1" bestFit="1" customWidth="1"/>
    <col min="5" max="5" width="14.08984375" style="1" bestFit="1" customWidth="1"/>
    <col min="6" max="16384" width="8.7265625" style="1"/>
  </cols>
  <sheetData>
    <row r="1" spans="1:5">
      <c r="A1" s="1" t="s">
        <v>7</v>
      </c>
      <c r="B1" s="1" t="s">
        <v>0</v>
      </c>
      <c r="C1" s="1" t="s">
        <v>1</v>
      </c>
      <c r="D1" s="1" t="s">
        <v>6</v>
      </c>
      <c r="E1" s="1" t="s">
        <v>2</v>
      </c>
    </row>
    <row r="2" spans="1:5">
      <c r="A2" s="1" t="s">
        <v>1120</v>
      </c>
      <c r="B2" s="1" t="s">
        <v>8</v>
      </c>
      <c r="C2" s="1" t="s">
        <v>10</v>
      </c>
      <c r="D2" s="1" t="s">
        <v>11</v>
      </c>
      <c r="E2" s="1" t="s">
        <v>12</v>
      </c>
    </row>
    <row r="3" spans="1:5">
      <c r="A3" s="1" t="s">
        <v>1120</v>
      </c>
      <c r="B3" s="1" t="s">
        <v>13</v>
      </c>
      <c r="C3" s="1" t="s">
        <v>10</v>
      </c>
      <c r="D3" s="1" t="s">
        <v>14</v>
      </c>
      <c r="E3" s="1" t="s">
        <v>15</v>
      </c>
    </row>
    <row r="4" spans="1:5">
      <c r="A4" s="1" t="s">
        <v>1120</v>
      </c>
      <c r="B4" s="1" t="s">
        <v>16</v>
      </c>
      <c r="C4" s="1" t="s">
        <v>17</v>
      </c>
      <c r="D4" s="1" t="s">
        <v>18</v>
      </c>
      <c r="E4" s="1" t="s">
        <v>19</v>
      </c>
    </row>
    <row r="5" spans="1:5">
      <c r="A5" s="1" t="s">
        <v>1120</v>
      </c>
      <c r="B5" s="1" t="s">
        <v>20</v>
      </c>
      <c r="C5" s="1" t="s">
        <v>21</v>
      </c>
      <c r="D5" s="1" t="s">
        <v>22</v>
      </c>
      <c r="E5" s="1" t="s">
        <v>23</v>
      </c>
    </row>
    <row r="6" spans="1:5">
      <c r="A6" s="1" t="s">
        <v>1120</v>
      </c>
      <c r="B6" s="1" t="s">
        <v>24</v>
      </c>
      <c r="C6" s="1" t="s">
        <v>25</v>
      </c>
      <c r="D6" s="1" t="s">
        <v>26</v>
      </c>
      <c r="E6" s="1" t="s">
        <v>27</v>
      </c>
    </row>
    <row r="7" spans="1:5">
      <c r="A7" s="1" t="s">
        <v>1120</v>
      </c>
      <c r="B7" s="1" t="s">
        <v>28</v>
      </c>
      <c r="C7" s="1" t="s">
        <v>3</v>
      </c>
      <c r="D7" s="1" t="s">
        <v>29</v>
      </c>
      <c r="E7" s="1" t="s">
        <v>30</v>
      </c>
    </row>
    <row r="8" spans="1:5">
      <c r="A8" s="1" t="s">
        <v>1120</v>
      </c>
      <c r="B8" s="1" t="s">
        <v>31</v>
      </c>
      <c r="C8" s="1" t="s">
        <v>3</v>
      </c>
      <c r="D8" s="1" t="s">
        <v>32</v>
      </c>
      <c r="E8" s="1" t="s">
        <v>33</v>
      </c>
    </row>
    <row r="9" spans="1:5">
      <c r="A9" s="1" t="s">
        <v>1120</v>
      </c>
      <c r="B9" s="1" t="s">
        <v>34</v>
      </c>
      <c r="C9" s="1" t="s">
        <v>3</v>
      </c>
      <c r="D9" s="1" t="s">
        <v>35</v>
      </c>
      <c r="E9" s="1" t="s">
        <v>36</v>
      </c>
    </row>
    <row r="10" spans="1:5">
      <c r="A10" s="1" t="s">
        <v>1120</v>
      </c>
      <c r="B10" s="1" t="s">
        <v>37</v>
      </c>
      <c r="C10" s="1" t="s">
        <v>3</v>
      </c>
      <c r="D10" s="1" t="s">
        <v>38</v>
      </c>
      <c r="E10" s="1" t="s">
        <v>39</v>
      </c>
    </row>
    <row r="11" spans="1:5">
      <c r="A11" s="1" t="s">
        <v>1120</v>
      </c>
      <c r="B11" s="1" t="s">
        <v>40</v>
      </c>
      <c r="C11" s="1" t="s">
        <v>3</v>
      </c>
      <c r="D11" s="1" t="s">
        <v>41</v>
      </c>
      <c r="E11" s="1" t="s">
        <v>42</v>
      </c>
    </row>
    <row r="12" spans="1:5">
      <c r="A12" s="1" t="s">
        <v>1120</v>
      </c>
      <c r="B12" s="1" t="s">
        <v>43</v>
      </c>
      <c r="C12" s="1" t="s">
        <v>3</v>
      </c>
      <c r="D12" s="1" t="s">
        <v>44</v>
      </c>
      <c r="E12" s="1" t="s">
        <v>45</v>
      </c>
    </row>
    <row r="13" spans="1:5">
      <c r="A13" s="1" t="s">
        <v>1120</v>
      </c>
      <c r="B13" s="1" t="s">
        <v>46</v>
      </c>
      <c r="C13" s="1" t="s">
        <v>3</v>
      </c>
      <c r="D13" s="1" t="s">
        <v>47</v>
      </c>
      <c r="E13" s="1" t="s">
        <v>48</v>
      </c>
    </row>
    <row r="14" spans="1:5">
      <c r="A14" s="1" t="s">
        <v>1120</v>
      </c>
      <c r="B14" s="1" t="s">
        <v>49</v>
      </c>
      <c r="C14" s="1" t="s">
        <v>3</v>
      </c>
      <c r="D14" s="1" t="s">
        <v>50</v>
      </c>
      <c r="E14" s="1" t="s">
        <v>51</v>
      </c>
    </row>
    <row r="15" spans="1:5">
      <c r="A15" s="1" t="s">
        <v>1120</v>
      </c>
      <c r="B15" s="1" t="s">
        <v>52</v>
      </c>
      <c r="C15" s="1" t="s">
        <v>3</v>
      </c>
      <c r="D15" s="1" t="s">
        <v>53</v>
      </c>
      <c r="E15" s="1" t="s">
        <v>54</v>
      </c>
    </row>
    <row r="16" spans="1:5">
      <c r="A16" s="1" t="s">
        <v>1120</v>
      </c>
      <c r="B16" s="1" t="s">
        <v>55</v>
      </c>
      <c r="C16" s="1" t="s">
        <v>56</v>
      </c>
      <c r="D16" s="1" t="s">
        <v>57</v>
      </c>
      <c r="E16" s="1" t="s">
        <v>58</v>
      </c>
    </row>
    <row r="17" spans="1:5">
      <c r="A17" s="1" t="s">
        <v>1120</v>
      </c>
      <c r="B17" s="1" t="s">
        <v>59</v>
      </c>
      <c r="C17" s="1" t="s">
        <v>56</v>
      </c>
      <c r="D17" s="1" t="s">
        <v>60</v>
      </c>
      <c r="E17" s="1" t="s">
        <v>61</v>
      </c>
    </row>
    <row r="18" spans="1:5">
      <c r="A18" s="1" t="s">
        <v>1120</v>
      </c>
      <c r="B18" s="1" t="s">
        <v>62</v>
      </c>
      <c r="C18" s="1" t="s">
        <v>63</v>
      </c>
      <c r="D18" s="1" t="s">
        <v>64</v>
      </c>
      <c r="E18" s="1" t="s">
        <v>65</v>
      </c>
    </row>
    <row r="19" spans="1:5">
      <c r="A19" s="1" t="s">
        <v>1120</v>
      </c>
      <c r="B19" s="1" t="s">
        <v>66</v>
      </c>
      <c r="C19" s="1" t="s">
        <v>67</v>
      </c>
      <c r="D19" s="1" t="s">
        <v>68</v>
      </c>
      <c r="E19" s="1" t="s">
        <v>69</v>
      </c>
    </row>
    <row r="20" spans="1:5">
      <c r="A20" s="1" t="s">
        <v>1120</v>
      </c>
      <c r="B20" s="1" t="s">
        <v>70</v>
      </c>
      <c r="C20" s="1" t="s">
        <v>71</v>
      </c>
      <c r="D20" s="1" t="s">
        <v>72</v>
      </c>
      <c r="E20" s="1" t="s">
        <v>73</v>
      </c>
    </row>
    <row r="21" spans="1:5">
      <c r="A21" s="1" t="s">
        <v>1120</v>
      </c>
      <c r="B21" s="1" t="s">
        <v>74</v>
      </c>
      <c r="C21" s="1" t="s">
        <v>75</v>
      </c>
      <c r="D21" s="1" t="s">
        <v>76</v>
      </c>
      <c r="E21" s="1" t="s">
        <v>77</v>
      </c>
    </row>
    <row r="22" spans="1:5">
      <c r="A22" s="1" t="s">
        <v>1120</v>
      </c>
      <c r="B22" s="1" t="s">
        <v>78</v>
      </c>
      <c r="C22" s="1" t="s">
        <v>79</v>
      </c>
      <c r="D22" s="1" t="s">
        <v>80</v>
      </c>
      <c r="E22" s="1" t="s">
        <v>81</v>
      </c>
    </row>
    <row r="23" spans="1:5">
      <c r="A23" s="1" t="s">
        <v>1120</v>
      </c>
      <c r="B23" s="1" t="s">
        <v>82</v>
      </c>
      <c r="C23" s="1" t="s">
        <v>83</v>
      </c>
      <c r="D23" s="1" t="s">
        <v>84</v>
      </c>
      <c r="E23" s="1" t="s">
        <v>85</v>
      </c>
    </row>
    <row r="24" spans="1:5">
      <c r="A24" s="1" t="s">
        <v>1120</v>
      </c>
      <c r="B24" s="1" t="s">
        <v>86</v>
      </c>
      <c r="C24" s="1" t="s">
        <v>87</v>
      </c>
      <c r="D24" s="1" t="s">
        <v>88</v>
      </c>
      <c r="E24" s="1" t="s">
        <v>89</v>
      </c>
    </row>
    <row r="25" spans="1:5">
      <c r="A25" s="1" t="s">
        <v>1120</v>
      </c>
      <c r="B25" s="1" t="s">
        <v>90</v>
      </c>
      <c r="C25" s="1" t="s">
        <v>91</v>
      </c>
      <c r="D25" s="1" t="s">
        <v>92</v>
      </c>
      <c r="E25" s="1" t="s">
        <v>93</v>
      </c>
    </row>
    <row r="26" spans="1:5">
      <c r="A26" s="1" t="s">
        <v>1120</v>
      </c>
      <c r="B26" s="1" t="s">
        <v>94</v>
      </c>
      <c r="C26" s="1" t="s">
        <v>91</v>
      </c>
      <c r="D26" s="1" t="s">
        <v>95</v>
      </c>
      <c r="E26" s="1" t="s">
        <v>96</v>
      </c>
    </row>
    <row r="27" spans="1:5">
      <c r="A27" s="1" t="s">
        <v>1120</v>
      </c>
      <c r="B27" s="1" t="s">
        <v>97</v>
      </c>
      <c r="C27" s="1" t="s">
        <v>98</v>
      </c>
      <c r="D27" s="1" t="s">
        <v>99</v>
      </c>
      <c r="E27" s="1" t="s">
        <v>100</v>
      </c>
    </row>
    <row r="28" spans="1:5">
      <c r="A28" s="1" t="s">
        <v>1120</v>
      </c>
      <c r="B28" s="1" t="s">
        <v>101</v>
      </c>
      <c r="C28" s="1" t="s">
        <v>102</v>
      </c>
      <c r="D28" s="1" t="s">
        <v>103</v>
      </c>
      <c r="E28" s="1" t="s">
        <v>104</v>
      </c>
    </row>
    <row r="29" spans="1:5">
      <c r="A29" s="1" t="s">
        <v>1120</v>
      </c>
      <c r="B29" s="1" t="s">
        <v>105</v>
      </c>
      <c r="C29" s="1" t="s">
        <v>5</v>
      </c>
      <c r="D29" s="1" t="s">
        <v>106</v>
      </c>
      <c r="E29" s="1" t="s">
        <v>107</v>
      </c>
    </row>
    <row r="30" spans="1:5">
      <c r="A30" s="1" t="s">
        <v>1120</v>
      </c>
      <c r="B30" s="1" t="s">
        <v>108</v>
      </c>
      <c r="C30" s="1" t="s">
        <v>5</v>
      </c>
      <c r="D30" s="1" t="s">
        <v>109</v>
      </c>
      <c r="E30" s="1" t="s">
        <v>110</v>
      </c>
    </row>
    <row r="31" spans="1:5">
      <c r="A31" s="1" t="s">
        <v>1120</v>
      </c>
      <c r="B31" s="1" t="s">
        <v>111</v>
      </c>
      <c r="C31" s="1" t="s">
        <v>112</v>
      </c>
      <c r="D31" s="1" t="s">
        <v>113</v>
      </c>
      <c r="E31" s="1" t="s">
        <v>114</v>
      </c>
    </row>
    <row r="32" spans="1:5">
      <c r="A32" s="1" t="s">
        <v>1120</v>
      </c>
      <c r="B32" s="1" t="s">
        <v>115</v>
      </c>
      <c r="C32" s="1" t="s">
        <v>112</v>
      </c>
      <c r="D32" s="1" t="s">
        <v>116</v>
      </c>
      <c r="E32" s="1" t="s">
        <v>117</v>
      </c>
    </row>
    <row r="33" spans="1:5">
      <c r="A33" s="1" t="s">
        <v>1120</v>
      </c>
      <c r="B33" s="1" t="s">
        <v>118</v>
      </c>
      <c r="C33" s="1" t="s">
        <v>5</v>
      </c>
      <c r="D33" s="1" t="s">
        <v>119</v>
      </c>
      <c r="E33" s="1" t="s">
        <v>120</v>
      </c>
    </row>
    <row r="34" spans="1:5">
      <c r="A34" s="1" t="s">
        <v>1120</v>
      </c>
      <c r="B34" s="1" t="s">
        <v>121</v>
      </c>
      <c r="C34" s="1" t="s">
        <v>122</v>
      </c>
      <c r="D34" s="1" t="s">
        <v>123</v>
      </c>
      <c r="E34" s="1" t="s">
        <v>124</v>
      </c>
    </row>
    <row r="35" spans="1:5">
      <c r="A35" s="1" t="s">
        <v>1120</v>
      </c>
      <c r="B35" s="1" t="s">
        <v>125</v>
      </c>
      <c r="C35" s="1" t="s">
        <v>126</v>
      </c>
      <c r="D35" s="1" t="s">
        <v>127</v>
      </c>
      <c r="E35" s="1" t="s">
        <v>128</v>
      </c>
    </row>
    <row r="36" spans="1:5">
      <c r="A36" s="1" t="s">
        <v>1120</v>
      </c>
      <c r="B36" s="1" t="s">
        <v>129</v>
      </c>
      <c r="C36" s="1" t="s">
        <v>130</v>
      </c>
      <c r="D36" s="1" t="s">
        <v>131</v>
      </c>
      <c r="E36" s="1" t="s">
        <v>132</v>
      </c>
    </row>
    <row r="37" spans="1:5">
      <c r="A37" s="1" t="s">
        <v>1120</v>
      </c>
      <c r="B37" s="1" t="s">
        <v>133</v>
      </c>
      <c r="C37" s="1" t="s">
        <v>130</v>
      </c>
      <c r="D37" s="1" t="s">
        <v>134</v>
      </c>
      <c r="E37" s="1" t="s">
        <v>135</v>
      </c>
    </row>
    <row r="38" spans="1:5">
      <c r="A38" s="1" t="s">
        <v>1120</v>
      </c>
      <c r="B38" s="1" t="s">
        <v>136</v>
      </c>
      <c r="C38" s="1" t="s">
        <v>137</v>
      </c>
      <c r="D38" s="1" t="s">
        <v>138</v>
      </c>
      <c r="E38" s="1" t="s">
        <v>139</v>
      </c>
    </row>
    <row r="39" spans="1:5">
      <c r="A39" s="1" t="s">
        <v>1120</v>
      </c>
      <c r="B39" s="1" t="s">
        <v>140</v>
      </c>
      <c r="C39" s="1" t="s">
        <v>141</v>
      </c>
      <c r="D39" s="1" t="s">
        <v>142</v>
      </c>
      <c r="E39" s="1" t="s">
        <v>143</v>
      </c>
    </row>
    <row r="40" spans="1:5">
      <c r="A40" s="1" t="s">
        <v>1120</v>
      </c>
      <c r="B40" s="1" t="s">
        <v>144</v>
      </c>
      <c r="C40" s="1" t="s">
        <v>145</v>
      </c>
      <c r="D40" s="1" t="s">
        <v>146</v>
      </c>
      <c r="E40" s="1" t="s">
        <v>147</v>
      </c>
    </row>
    <row r="41" spans="1:5">
      <c r="A41" s="1" t="s">
        <v>1120</v>
      </c>
      <c r="B41" s="1" t="s">
        <v>148</v>
      </c>
      <c r="C41" s="1" t="s">
        <v>149</v>
      </c>
      <c r="D41" s="1" t="s">
        <v>150</v>
      </c>
      <c r="E41" s="1" t="s">
        <v>151</v>
      </c>
    </row>
    <row r="42" spans="1:5">
      <c r="A42" s="1" t="s">
        <v>1120</v>
      </c>
      <c r="B42" s="1" t="s">
        <v>152</v>
      </c>
      <c r="C42" s="1" t="s">
        <v>149</v>
      </c>
      <c r="D42" s="1" t="s">
        <v>153</v>
      </c>
      <c r="E42" s="1" t="s">
        <v>154</v>
      </c>
    </row>
    <row r="43" spans="1:5">
      <c r="A43" s="1" t="s">
        <v>1120</v>
      </c>
      <c r="B43" s="1" t="s">
        <v>155</v>
      </c>
      <c r="C43" s="1" t="s">
        <v>149</v>
      </c>
      <c r="D43" s="1" t="s">
        <v>156</v>
      </c>
      <c r="E43" s="1" t="s">
        <v>157</v>
      </c>
    </row>
    <row r="44" spans="1:5">
      <c r="A44" s="1" t="s">
        <v>1120</v>
      </c>
      <c r="B44" s="1" t="s">
        <v>158</v>
      </c>
      <c r="C44" s="1" t="s">
        <v>159</v>
      </c>
      <c r="D44" s="1" t="s">
        <v>160</v>
      </c>
      <c r="E44" s="1" t="s">
        <v>161</v>
      </c>
    </row>
    <row r="45" spans="1:5">
      <c r="A45" s="1" t="s">
        <v>1120</v>
      </c>
      <c r="B45" s="1" t="s">
        <v>162</v>
      </c>
      <c r="C45" s="1" t="s">
        <v>159</v>
      </c>
      <c r="D45" s="1" t="s">
        <v>163</v>
      </c>
      <c r="E45" s="1" t="s">
        <v>164</v>
      </c>
    </row>
    <row r="46" spans="1:5">
      <c r="A46" s="1" t="s">
        <v>1120</v>
      </c>
      <c r="B46" s="1" t="s">
        <v>165</v>
      </c>
      <c r="C46" s="1" t="s">
        <v>159</v>
      </c>
      <c r="D46" s="1" t="s">
        <v>166</v>
      </c>
      <c r="E46" s="1" t="s">
        <v>167</v>
      </c>
    </row>
    <row r="47" spans="1:5">
      <c r="A47" s="1" t="s">
        <v>1120</v>
      </c>
      <c r="B47" s="1" t="s">
        <v>168</v>
      </c>
      <c r="C47" s="1" t="s">
        <v>169</v>
      </c>
      <c r="D47" s="1" t="s">
        <v>170</v>
      </c>
      <c r="E47" s="1" t="s">
        <v>171</v>
      </c>
    </row>
    <row r="48" spans="1:5">
      <c r="A48" s="1" t="s">
        <v>1120</v>
      </c>
      <c r="B48" s="1" t="s">
        <v>172</v>
      </c>
      <c r="C48" s="1" t="s">
        <v>173</v>
      </c>
      <c r="D48" s="1" t="s">
        <v>174</v>
      </c>
      <c r="E48" s="1" t="s">
        <v>175</v>
      </c>
    </row>
    <row r="49" spans="1:5">
      <c r="A49" s="1" t="s">
        <v>1120</v>
      </c>
      <c r="B49" s="1" t="s">
        <v>176</v>
      </c>
      <c r="C49" s="1" t="s">
        <v>177</v>
      </c>
      <c r="D49" s="1" t="s">
        <v>178</v>
      </c>
      <c r="E49" s="1" t="s">
        <v>9</v>
      </c>
    </row>
    <row r="50" spans="1:5">
      <c r="A50" s="1" t="s">
        <v>1120</v>
      </c>
      <c r="B50" s="1" t="s">
        <v>179</v>
      </c>
      <c r="C50" s="1" t="s">
        <v>180</v>
      </c>
      <c r="D50" s="1" t="s">
        <v>181</v>
      </c>
      <c r="E50" s="1" t="s">
        <v>182</v>
      </c>
    </row>
    <row r="51" spans="1:5">
      <c r="A51" s="1" t="s">
        <v>1120</v>
      </c>
      <c r="B51" s="1" t="s">
        <v>183</v>
      </c>
      <c r="C51" s="1" t="s">
        <v>184</v>
      </c>
      <c r="D51" s="1" t="s">
        <v>185</v>
      </c>
      <c r="E51" s="1" t="s">
        <v>186</v>
      </c>
    </row>
    <row r="52" spans="1:5">
      <c r="A52" s="1" t="s">
        <v>1120</v>
      </c>
      <c r="B52" s="1" t="s">
        <v>187</v>
      </c>
      <c r="C52" s="1" t="s">
        <v>188</v>
      </c>
      <c r="D52" s="1" t="s">
        <v>189</v>
      </c>
      <c r="E52" s="1" t="s">
        <v>190</v>
      </c>
    </row>
    <row r="53" spans="1:5">
      <c r="A53" s="1" t="s">
        <v>1120</v>
      </c>
      <c r="B53" s="1" t="s">
        <v>191</v>
      </c>
      <c r="C53" s="1" t="s">
        <v>192</v>
      </c>
      <c r="D53" s="1" t="s">
        <v>193</v>
      </c>
      <c r="E53" s="1" t="s">
        <v>194</v>
      </c>
    </row>
    <row r="54" spans="1:5">
      <c r="A54" s="1" t="s">
        <v>1120</v>
      </c>
      <c r="B54" s="1" t="s">
        <v>195</v>
      </c>
      <c r="C54" s="1" t="s">
        <v>196</v>
      </c>
      <c r="D54" s="1" t="s">
        <v>197</v>
      </c>
      <c r="E54" s="1" t="s">
        <v>198</v>
      </c>
    </row>
    <row r="55" spans="1:5">
      <c r="A55" s="1" t="s">
        <v>1120</v>
      </c>
      <c r="B55" s="1" t="s">
        <v>199</v>
      </c>
      <c r="C55" s="1" t="s">
        <v>196</v>
      </c>
      <c r="D55" s="1" t="s">
        <v>200</v>
      </c>
      <c r="E55" s="1" t="s">
        <v>201</v>
      </c>
    </row>
    <row r="56" spans="1:5">
      <c r="A56" s="1" t="s">
        <v>1120</v>
      </c>
      <c r="B56" s="1" t="s">
        <v>202</v>
      </c>
      <c r="C56" s="1" t="s">
        <v>203</v>
      </c>
      <c r="D56" s="1" t="s">
        <v>204</v>
      </c>
      <c r="E56" s="1" t="s">
        <v>205</v>
      </c>
    </row>
    <row r="57" spans="1:5">
      <c r="A57" s="1" t="s">
        <v>1120</v>
      </c>
      <c r="B57" s="1" t="s">
        <v>206</v>
      </c>
      <c r="C57" s="1" t="s">
        <v>203</v>
      </c>
      <c r="D57" s="1" t="s">
        <v>207</v>
      </c>
      <c r="E57" s="1" t="s">
        <v>208</v>
      </c>
    </row>
    <row r="58" spans="1:5">
      <c r="A58" s="1" t="s">
        <v>1120</v>
      </c>
      <c r="B58" s="1" t="s">
        <v>209</v>
      </c>
      <c r="C58" s="1" t="s">
        <v>210</v>
      </c>
      <c r="D58" s="1" t="s">
        <v>211</v>
      </c>
      <c r="E58" s="1" t="s">
        <v>212</v>
      </c>
    </row>
    <row r="59" spans="1:5">
      <c r="A59" s="1" t="s">
        <v>1120</v>
      </c>
      <c r="B59" s="1" t="s">
        <v>213</v>
      </c>
      <c r="C59" s="1" t="s">
        <v>214</v>
      </c>
      <c r="D59" s="1" t="s">
        <v>215</v>
      </c>
      <c r="E59" s="1" t="s">
        <v>216</v>
      </c>
    </row>
    <row r="60" spans="1:5">
      <c r="A60" s="1" t="s">
        <v>1120</v>
      </c>
      <c r="B60" s="1" t="s">
        <v>217</v>
      </c>
      <c r="C60" s="1" t="s">
        <v>214</v>
      </c>
      <c r="D60" s="1" t="s">
        <v>218</v>
      </c>
      <c r="E60" s="1" t="s">
        <v>219</v>
      </c>
    </row>
    <row r="61" spans="1:5">
      <c r="A61" s="1" t="s">
        <v>1120</v>
      </c>
      <c r="B61" s="1" t="s">
        <v>220</v>
      </c>
      <c r="C61" s="1" t="s">
        <v>221</v>
      </c>
      <c r="D61" s="1" t="s">
        <v>222</v>
      </c>
      <c r="E61" s="1" t="s">
        <v>223</v>
      </c>
    </row>
    <row r="62" spans="1:5">
      <c r="A62" s="1" t="s">
        <v>1120</v>
      </c>
      <c r="B62" s="1" t="s">
        <v>224</v>
      </c>
      <c r="C62" s="1" t="s">
        <v>225</v>
      </c>
      <c r="D62" s="1" t="s">
        <v>226</v>
      </c>
      <c r="E62" s="1" t="s">
        <v>227</v>
      </c>
    </row>
    <row r="63" spans="1:5">
      <c r="A63" s="1" t="s">
        <v>1120</v>
      </c>
      <c r="B63" s="1" t="s">
        <v>228</v>
      </c>
      <c r="C63" s="1" t="s">
        <v>225</v>
      </c>
      <c r="D63" s="1" t="s">
        <v>229</v>
      </c>
      <c r="E63" s="1" t="s">
        <v>230</v>
      </c>
    </row>
    <row r="64" spans="1:5">
      <c r="A64" s="1" t="s">
        <v>1120</v>
      </c>
      <c r="B64" s="1" t="s">
        <v>231</v>
      </c>
      <c r="C64" s="1" t="s">
        <v>232</v>
      </c>
      <c r="D64" s="1" t="s">
        <v>233</v>
      </c>
      <c r="E64" s="1" t="s">
        <v>234</v>
      </c>
    </row>
    <row r="65" spans="1:5">
      <c r="A65" s="1" t="s">
        <v>1120</v>
      </c>
      <c r="B65" s="1" t="s">
        <v>235</v>
      </c>
      <c r="C65" s="1" t="s">
        <v>232</v>
      </c>
      <c r="D65" s="1" t="s">
        <v>236</v>
      </c>
      <c r="E65" s="1" t="s">
        <v>237</v>
      </c>
    </row>
    <row r="66" spans="1:5">
      <c r="A66" s="1" t="s">
        <v>1120</v>
      </c>
      <c r="B66" s="1" t="s">
        <v>238</v>
      </c>
      <c r="C66" s="1" t="s">
        <v>239</v>
      </c>
      <c r="D66" s="1" t="s">
        <v>240</v>
      </c>
      <c r="E66" s="1" t="s">
        <v>241</v>
      </c>
    </row>
    <row r="67" spans="1:5">
      <c r="A67" s="1" t="s">
        <v>1120</v>
      </c>
      <c r="B67" s="1" t="s">
        <v>242</v>
      </c>
      <c r="C67" s="1" t="s">
        <v>243</v>
      </c>
      <c r="D67" s="1" t="s">
        <v>244</v>
      </c>
      <c r="E67" s="1" t="s">
        <v>245</v>
      </c>
    </row>
    <row r="68" spans="1:5">
      <c r="A68" s="1" t="s">
        <v>1120</v>
      </c>
      <c r="B68" s="1" t="s">
        <v>246</v>
      </c>
      <c r="C68" s="1" t="s">
        <v>247</v>
      </c>
      <c r="D68" s="1" t="s">
        <v>248</v>
      </c>
      <c r="E68" s="1" t="s">
        <v>249</v>
      </c>
    </row>
    <row r="69" spans="1:5">
      <c r="A69" s="1" t="s">
        <v>1120</v>
      </c>
      <c r="B69" s="1" t="s">
        <v>250</v>
      </c>
      <c r="C69" s="1" t="s">
        <v>251</v>
      </c>
      <c r="D69" s="1" t="s">
        <v>252</v>
      </c>
      <c r="E69" s="1" t="s">
        <v>253</v>
      </c>
    </row>
    <row r="70" spans="1:5">
      <c r="A70" s="1" t="s">
        <v>1120</v>
      </c>
      <c r="B70" s="1" t="s">
        <v>254</v>
      </c>
      <c r="C70" s="1" t="s">
        <v>255</v>
      </c>
      <c r="D70" s="1" t="s">
        <v>256</v>
      </c>
      <c r="E70" s="1" t="s">
        <v>257</v>
      </c>
    </row>
    <row r="71" spans="1:5">
      <c r="A71" s="1" t="s">
        <v>1120</v>
      </c>
      <c r="B71" s="1" t="s">
        <v>258</v>
      </c>
      <c r="C71" s="1" t="s">
        <v>259</v>
      </c>
      <c r="D71" s="1" t="s">
        <v>260</v>
      </c>
      <c r="E71" s="1" t="s">
        <v>261</v>
      </c>
    </row>
    <row r="72" spans="1:5">
      <c r="A72" s="1" t="s">
        <v>1120</v>
      </c>
      <c r="B72" s="1" t="s">
        <v>262</v>
      </c>
      <c r="C72" s="1" t="s">
        <v>263</v>
      </c>
      <c r="D72" s="1" t="s">
        <v>264</v>
      </c>
      <c r="E72" s="1" t="s">
        <v>265</v>
      </c>
    </row>
    <row r="73" spans="1:5">
      <c r="A73" s="1" t="s">
        <v>1120</v>
      </c>
      <c r="B73" s="1" t="s">
        <v>266</v>
      </c>
      <c r="C73" s="1" t="s">
        <v>267</v>
      </c>
      <c r="D73" s="1" t="s">
        <v>268</v>
      </c>
      <c r="E73" s="1" t="s">
        <v>269</v>
      </c>
    </row>
    <row r="74" spans="1:5">
      <c r="A74" s="1" t="s">
        <v>1120</v>
      </c>
      <c r="B74" s="1" t="s">
        <v>270</v>
      </c>
      <c r="C74" s="1" t="s">
        <v>271</v>
      </c>
      <c r="D74" s="1" t="s">
        <v>272</v>
      </c>
      <c r="E74" s="1" t="s">
        <v>273</v>
      </c>
    </row>
    <row r="75" spans="1:5">
      <c r="A75" s="1" t="s">
        <v>1120</v>
      </c>
      <c r="B75" s="1" t="s">
        <v>274</v>
      </c>
      <c r="C75" s="1" t="s">
        <v>263</v>
      </c>
      <c r="D75" s="1" t="s">
        <v>275</v>
      </c>
      <c r="E75" s="1" t="s">
        <v>276</v>
      </c>
    </row>
    <row r="76" spans="1:5">
      <c r="A76" s="1" t="s">
        <v>1120</v>
      </c>
      <c r="B76" s="1" t="s">
        <v>277</v>
      </c>
      <c r="C76" s="1" t="s">
        <v>278</v>
      </c>
      <c r="D76" s="1" t="s">
        <v>279</v>
      </c>
      <c r="E76" s="1" t="s">
        <v>280</v>
      </c>
    </row>
    <row r="77" spans="1:5">
      <c r="A77" s="1" t="s">
        <v>1120</v>
      </c>
      <c r="B77" s="1" t="s">
        <v>281</v>
      </c>
      <c r="C77" s="1" t="s">
        <v>282</v>
      </c>
      <c r="D77" s="1" t="s">
        <v>283</v>
      </c>
      <c r="E77" s="1" t="s">
        <v>284</v>
      </c>
    </row>
    <row r="78" spans="1:5">
      <c r="A78" s="1" t="s">
        <v>1120</v>
      </c>
      <c r="B78" s="1" t="s">
        <v>285</v>
      </c>
      <c r="C78" s="1" t="s">
        <v>286</v>
      </c>
      <c r="D78" s="1" t="s">
        <v>287</v>
      </c>
      <c r="E78" s="1" t="s">
        <v>288</v>
      </c>
    </row>
    <row r="79" spans="1:5">
      <c r="A79" s="1" t="s">
        <v>1120</v>
      </c>
      <c r="B79" s="1" t="s">
        <v>289</v>
      </c>
      <c r="C79" s="1" t="s">
        <v>290</v>
      </c>
      <c r="D79" s="1" t="s">
        <v>291</v>
      </c>
      <c r="E79" s="1" t="s">
        <v>292</v>
      </c>
    </row>
    <row r="80" spans="1:5">
      <c r="A80" s="1" t="s">
        <v>1120</v>
      </c>
      <c r="B80" s="1" t="s">
        <v>293</v>
      </c>
      <c r="C80" s="1" t="s">
        <v>259</v>
      </c>
      <c r="D80" s="1" t="s">
        <v>294</v>
      </c>
      <c r="E80" s="1" t="s">
        <v>295</v>
      </c>
    </row>
    <row r="81" spans="1:5">
      <c r="A81" s="1" t="s">
        <v>1120</v>
      </c>
      <c r="B81" s="1" t="s">
        <v>296</v>
      </c>
      <c r="C81" s="1" t="s">
        <v>298</v>
      </c>
      <c r="D81" s="1" t="s">
        <v>299</v>
      </c>
      <c r="E81" s="1" t="s">
        <v>300</v>
      </c>
    </row>
    <row r="82" spans="1:5">
      <c r="A82" s="1" t="s">
        <v>1120</v>
      </c>
      <c r="B82" s="1" t="s">
        <v>301</v>
      </c>
      <c r="C82" s="1" t="s">
        <v>298</v>
      </c>
      <c r="D82" s="1" t="s">
        <v>302</v>
      </c>
      <c r="E82" s="1" t="s">
        <v>303</v>
      </c>
    </row>
    <row r="83" spans="1:5">
      <c r="A83" s="1" t="s">
        <v>1120</v>
      </c>
      <c r="B83" s="1" t="s">
        <v>304</v>
      </c>
      <c r="C83" s="1" t="s">
        <v>305</v>
      </c>
      <c r="D83" s="1" t="s">
        <v>306</v>
      </c>
      <c r="E83" s="1" t="s">
        <v>307</v>
      </c>
    </row>
    <row r="84" spans="1:5">
      <c r="A84" s="1" t="s">
        <v>1120</v>
      </c>
      <c r="B84" s="1" t="s">
        <v>308</v>
      </c>
      <c r="C84" s="1" t="s">
        <v>297</v>
      </c>
      <c r="D84" s="1" t="s">
        <v>309</v>
      </c>
      <c r="E84" s="1" t="s">
        <v>310</v>
      </c>
    </row>
    <row r="85" spans="1:5">
      <c r="A85" s="1" t="s">
        <v>1120</v>
      </c>
      <c r="B85" s="1" t="s">
        <v>311</v>
      </c>
      <c r="C85" s="1" t="s">
        <v>4</v>
      </c>
      <c r="D85" s="1" t="s">
        <v>312</v>
      </c>
      <c r="E85" s="1" t="s">
        <v>313</v>
      </c>
    </row>
    <row r="86" spans="1:5">
      <c r="A86" s="1" t="s">
        <v>1120</v>
      </c>
      <c r="B86" s="1" t="s">
        <v>314</v>
      </c>
      <c r="C86" s="1" t="s">
        <v>315</v>
      </c>
      <c r="D86" s="1" t="s">
        <v>316</v>
      </c>
      <c r="E86" s="1" t="s">
        <v>317</v>
      </c>
    </row>
    <row r="87" spans="1:5">
      <c r="A87" s="1" t="s">
        <v>1120</v>
      </c>
      <c r="B87" s="1" t="s">
        <v>318</v>
      </c>
      <c r="C87" s="1" t="s">
        <v>4</v>
      </c>
      <c r="D87" s="1" t="s">
        <v>319</v>
      </c>
      <c r="E87" s="1" t="s">
        <v>320</v>
      </c>
    </row>
    <row r="88" spans="1:5">
      <c r="A88" s="1" t="s">
        <v>1120</v>
      </c>
      <c r="B88" s="1" t="s">
        <v>321</v>
      </c>
      <c r="C88" s="1" t="s">
        <v>4</v>
      </c>
      <c r="D88" s="1" t="s">
        <v>322</v>
      </c>
      <c r="E88" s="1" t="s">
        <v>323</v>
      </c>
    </row>
    <row r="89" spans="1:5">
      <c r="A89" s="1" t="s">
        <v>1120</v>
      </c>
      <c r="B89" s="1" t="s">
        <v>324</v>
      </c>
      <c r="C89" s="1" t="s">
        <v>4</v>
      </c>
      <c r="D89" s="1" t="s">
        <v>326</v>
      </c>
      <c r="E89" s="1" t="s">
        <v>325</v>
      </c>
    </row>
    <row r="90" spans="1:5">
      <c r="A90" s="1" t="s">
        <v>1120</v>
      </c>
      <c r="B90" s="1" t="s">
        <v>327</v>
      </c>
      <c r="C90" s="1" t="s">
        <v>4</v>
      </c>
      <c r="D90" s="1" t="s">
        <v>329</v>
      </c>
      <c r="E90" s="1" t="s">
        <v>328</v>
      </c>
    </row>
    <row r="91" spans="1:5">
      <c r="A91" s="1" t="s">
        <v>1120</v>
      </c>
      <c r="B91" s="1" t="s">
        <v>330</v>
      </c>
      <c r="C91" s="1" t="s">
        <v>4</v>
      </c>
      <c r="D91" s="1" t="s">
        <v>332</v>
      </c>
      <c r="E91" s="1" t="s">
        <v>331</v>
      </c>
    </row>
    <row r="92" spans="1:5">
      <c r="A92" s="1" t="s">
        <v>1120</v>
      </c>
      <c r="B92" s="1" t="s">
        <v>333</v>
      </c>
      <c r="C92" s="1" t="s">
        <v>4</v>
      </c>
      <c r="D92" s="1" t="s">
        <v>334</v>
      </c>
      <c r="E92" s="1" t="s">
        <v>335</v>
      </c>
    </row>
    <row r="93" spans="1:5">
      <c r="A93" s="1" t="s">
        <v>1120</v>
      </c>
      <c r="B93" s="1" t="s">
        <v>336</v>
      </c>
      <c r="C93" s="1" t="s">
        <v>4</v>
      </c>
      <c r="D93" s="1" t="s">
        <v>337</v>
      </c>
      <c r="E93" s="1" t="s">
        <v>338</v>
      </c>
    </row>
    <row r="94" spans="1:5">
      <c r="A94" s="1" t="s">
        <v>1120</v>
      </c>
      <c r="B94" s="1" t="s">
        <v>339</v>
      </c>
      <c r="C94" s="1" t="s">
        <v>4</v>
      </c>
      <c r="D94" s="1" t="s">
        <v>340</v>
      </c>
      <c r="E94" s="1" t="s">
        <v>341</v>
      </c>
    </row>
    <row r="95" spans="1:5">
      <c r="A95" s="1" t="s">
        <v>1120</v>
      </c>
      <c r="B95" s="1" t="s">
        <v>342</v>
      </c>
      <c r="C95" s="1" t="s">
        <v>4</v>
      </c>
      <c r="D95" s="1" t="s">
        <v>343</v>
      </c>
      <c r="E95" s="1" t="s">
        <v>344</v>
      </c>
    </row>
    <row r="96" spans="1:5">
      <c r="A96" s="1" t="s">
        <v>1120</v>
      </c>
      <c r="B96" s="1" t="s">
        <v>345</v>
      </c>
      <c r="C96" s="1" t="s">
        <v>4</v>
      </c>
      <c r="D96" s="1" t="s">
        <v>346</v>
      </c>
      <c r="E96" s="1" t="s">
        <v>347</v>
      </c>
    </row>
    <row r="97" spans="1:5">
      <c r="A97" s="1" t="s">
        <v>1120</v>
      </c>
      <c r="B97" s="1" t="s">
        <v>348</v>
      </c>
      <c r="C97" s="1" t="s">
        <v>4</v>
      </c>
      <c r="D97" s="1" t="s">
        <v>349</v>
      </c>
      <c r="E97" s="1" t="s">
        <v>350</v>
      </c>
    </row>
    <row r="98" spans="1:5">
      <c r="A98" s="1" t="s">
        <v>1120</v>
      </c>
      <c r="B98" s="1" t="s">
        <v>351</v>
      </c>
      <c r="C98" s="1" t="s">
        <v>4</v>
      </c>
      <c r="D98" s="1" t="s">
        <v>352</v>
      </c>
      <c r="E98" s="1" t="s">
        <v>353</v>
      </c>
    </row>
    <row r="99" spans="1:5">
      <c r="A99" s="1" t="s">
        <v>1120</v>
      </c>
      <c r="B99" s="1" t="s">
        <v>354</v>
      </c>
      <c r="C99" s="1" t="s">
        <v>4</v>
      </c>
      <c r="D99" s="1" t="s">
        <v>355</v>
      </c>
      <c r="E99" s="1" t="s">
        <v>356</v>
      </c>
    </row>
    <row r="100" spans="1:5">
      <c r="A100" s="1" t="s">
        <v>1120</v>
      </c>
      <c r="B100" s="1" t="s">
        <v>357</v>
      </c>
      <c r="C100" s="1" t="s">
        <v>4</v>
      </c>
      <c r="D100" s="1" t="s">
        <v>358</v>
      </c>
      <c r="E100" s="1" t="s">
        <v>359</v>
      </c>
    </row>
    <row r="101" spans="1:5">
      <c r="A101" s="1" t="s">
        <v>1120</v>
      </c>
      <c r="B101" s="1" t="s">
        <v>360</v>
      </c>
      <c r="C101" s="1" t="s">
        <v>4</v>
      </c>
      <c r="D101" s="1" t="s">
        <v>361</v>
      </c>
      <c r="E101" s="1" t="s">
        <v>362</v>
      </c>
    </row>
    <row r="102" spans="1:5">
      <c r="A102" s="1" t="s">
        <v>1120</v>
      </c>
      <c r="B102" s="1" t="s">
        <v>363</v>
      </c>
      <c r="C102" s="1" t="s">
        <v>4</v>
      </c>
      <c r="D102" s="1" t="s">
        <v>364</v>
      </c>
      <c r="E102" s="1" t="s">
        <v>365</v>
      </c>
    </row>
    <row r="103" spans="1:5">
      <c r="A103" s="1" t="s">
        <v>1120</v>
      </c>
      <c r="B103" s="1" t="s">
        <v>366</v>
      </c>
      <c r="C103" s="1" t="s">
        <v>367</v>
      </c>
      <c r="D103" s="1" t="s">
        <v>368</v>
      </c>
      <c r="E103" s="1" t="s">
        <v>369</v>
      </c>
    </row>
    <row r="104" spans="1:5">
      <c r="A104" s="1" t="s">
        <v>1120</v>
      </c>
      <c r="B104" s="1" t="s">
        <v>370</v>
      </c>
      <c r="C104" s="1" t="s">
        <v>371</v>
      </c>
      <c r="D104" s="1" t="s">
        <v>372</v>
      </c>
      <c r="E104" s="1" t="s">
        <v>373</v>
      </c>
    </row>
    <row r="105" spans="1:5">
      <c r="A105" s="1" t="s">
        <v>1120</v>
      </c>
      <c r="B105" s="1" t="s">
        <v>374</v>
      </c>
      <c r="C105" s="1" t="s">
        <v>375</v>
      </c>
      <c r="D105" s="1" t="s">
        <v>376</v>
      </c>
      <c r="E105" s="1" t="s">
        <v>377</v>
      </c>
    </row>
    <row r="106" spans="1:5">
      <c r="A106" s="1" t="s">
        <v>1120</v>
      </c>
      <c r="B106" s="1" t="s">
        <v>378</v>
      </c>
      <c r="C106" s="1" t="s">
        <v>379</v>
      </c>
      <c r="D106" s="1" t="s">
        <v>380</v>
      </c>
      <c r="E106" s="1" t="s">
        <v>381</v>
      </c>
    </row>
    <row r="107" spans="1:5">
      <c r="A107" s="1" t="s">
        <v>1120</v>
      </c>
      <c r="B107" s="1" t="s">
        <v>382</v>
      </c>
      <c r="C107" s="1" t="s">
        <v>4</v>
      </c>
      <c r="D107" s="1" t="s">
        <v>383</v>
      </c>
      <c r="E107" s="1" t="s">
        <v>384</v>
      </c>
    </row>
    <row r="108" spans="1:5">
      <c r="A108" s="1" t="s">
        <v>1120</v>
      </c>
      <c r="B108" s="1" t="s">
        <v>385</v>
      </c>
      <c r="C108" s="1" t="s">
        <v>4</v>
      </c>
      <c r="D108" s="1" t="s">
        <v>386</v>
      </c>
      <c r="E108" s="1" t="s">
        <v>387</v>
      </c>
    </row>
    <row r="109" spans="1:5">
      <c r="A109" s="1" t="s">
        <v>1120</v>
      </c>
      <c r="B109" s="1" t="s">
        <v>388</v>
      </c>
      <c r="C109" s="1" t="s">
        <v>389</v>
      </c>
      <c r="D109" s="1" t="s">
        <v>390</v>
      </c>
      <c r="E109" s="1" t="s">
        <v>391</v>
      </c>
    </row>
    <row r="110" spans="1:5">
      <c r="A110" s="1" t="s">
        <v>1120</v>
      </c>
      <c r="B110" s="1" t="s">
        <v>392</v>
      </c>
      <c r="C110" s="1" t="s">
        <v>4</v>
      </c>
      <c r="D110" s="1" t="s">
        <v>393</v>
      </c>
      <c r="E110" s="1" t="s">
        <v>394</v>
      </c>
    </row>
    <row r="111" spans="1:5">
      <c r="A111" s="1" t="s">
        <v>1120</v>
      </c>
      <c r="B111" s="1" t="s">
        <v>395</v>
      </c>
      <c r="C111" s="1" t="s">
        <v>389</v>
      </c>
      <c r="D111" s="1" t="s">
        <v>396</v>
      </c>
      <c r="E111" s="1" t="s">
        <v>397</v>
      </c>
    </row>
    <row r="112" spans="1:5">
      <c r="A112" s="1" t="s">
        <v>1120</v>
      </c>
      <c r="B112" s="1" t="s">
        <v>398</v>
      </c>
      <c r="C112" s="1" t="s">
        <v>399</v>
      </c>
      <c r="D112" s="1" t="s">
        <v>400</v>
      </c>
      <c r="E112" s="1" t="s">
        <v>401</v>
      </c>
    </row>
    <row r="113" spans="1:5">
      <c r="A113" s="1" t="s">
        <v>1120</v>
      </c>
      <c r="B113" s="1" t="s">
        <v>402</v>
      </c>
      <c r="C113" s="1" t="s">
        <v>403</v>
      </c>
      <c r="D113" s="1" t="s">
        <v>404</v>
      </c>
      <c r="E113" s="1" t="s">
        <v>405</v>
      </c>
    </row>
    <row r="114" spans="1:5">
      <c r="A114" s="1" t="s">
        <v>1120</v>
      </c>
      <c r="B114" s="1" t="s">
        <v>406</v>
      </c>
      <c r="C114" s="1" t="s">
        <v>407</v>
      </c>
      <c r="D114" s="1" t="s">
        <v>408</v>
      </c>
      <c r="E114" s="1" t="s">
        <v>409</v>
      </c>
    </row>
    <row r="115" spans="1:5">
      <c r="A115" s="1" t="s">
        <v>1120</v>
      </c>
      <c r="B115" s="1" t="s">
        <v>410</v>
      </c>
      <c r="C115" s="1" t="s">
        <v>411</v>
      </c>
      <c r="D115" s="1" t="s">
        <v>412</v>
      </c>
      <c r="E115" s="1" t="s">
        <v>413</v>
      </c>
    </row>
    <row r="116" spans="1:5">
      <c r="A116" s="1" t="s">
        <v>1120</v>
      </c>
      <c r="B116" s="1" t="s">
        <v>414</v>
      </c>
      <c r="C116" s="1" t="s">
        <v>415</v>
      </c>
      <c r="D116" s="1" t="s">
        <v>416</v>
      </c>
      <c r="E116" s="1" t="s">
        <v>417</v>
      </c>
    </row>
    <row r="117" spans="1:5">
      <c r="A117" s="1" t="s">
        <v>1120</v>
      </c>
      <c r="B117" s="1" t="s">
        <v>418</v>
      </c>
      <c r="C117" s="1" t="s">
        <v>419</v>
      </c>
      <c r="D117" s="1" t="s">
        <v>420</v>
      </c>
      <c r="E117" s="1" t="s">
        <v>421</v>
      </c>
    </row>
    <row r="118" spans="1:5">
      <c r="A118" s="1" t="s">
        <v>1120</v>
      </c>
      <c r="B118" s="1" t="s">
        <v>422</v>
      </c>
      <c r="C118" s="1" t="s">
        <v>423</v>
      </c>
      <c r="D118" s="1" t="s">
        <v>424</v>
      </c>
      <c r="E118" s="1" t="s">
        <v>425</v>
      </c>
    </row>
    <row r="119" spans="1:5">
      <c r="A119" s="1" t="s">
        <v>1120</v>
      </c>
      <c r="B119" s="1" t="s">
        <v>426</v>
      </c>
      <c r="C119" s="1" t="s">
        <v>427</v>
      </c>
      <c r="D119" s="1" t="s">
        <v>428</v>
      </c>
      <c r="E119" s="1" t="s">
        <v>429</v>
      </c>
    </row>
    <row r="120" spans="1:5">
      <c r="A120" s="1" t="s">
        <v>1120</v>
      </c>
      <c r="B120" s="1" t="s">
        <v>430</v>
      </c>
      <c r="C120" s="1" t="s">
        <v>431</v>
      </c>
      <c r="D120" s="1" t="s">
        <v>9</v>
      </c>
      <c r="E120" s="1" t="s">
        <v>9</v>
      </c>
    </row>
    <row r="121" spans="1:5">
      <c r="A121" s="1" t="s">
        <v>1120</v>
      </c>
      <c r="B121" s="1" t="s">
        <v>432</v>
      </c>
      <c r="C121" s="1" t="s">
        <v>433</v>
      </c>
      <c r="D121" s="1" t="s">
        <v>434</v>
      </c>
      <c r="E121" s="1" t="s">
        <v>435</v>
      </c>
    </row>
    <row r="122" spans="1:5">
      <c r="A122" s="1" t="s">
        <v>1120</v>
      </c>
      <c r="B122" s="1" t="s">
        <v>436</v>
      </c>
      <c r="C122" s="1" t="s">
        <v>437</v>
      </c>
      <c r="D122" s="1" t="s">
        <v>438</v>
      </c>
      <c r="E122" s="1" t="s">
        <v>439</v>
      </c>
    </row>
    <row r="123" spans="1:5">
      <c r="A123" s="1" t="s">
        <v>1120</v>
      </c>
      <c r="B123" s="1" t="s">
        <v>440</v>
      </c>
      <c r="C123" s="1" t="s">
        <v>441</v>
      </c>
      <c r="D123" s="1" t="s">
        <v>442</v>
      </c>
      <c r="E123" s="1" t="s">
        <v>443</v>
      </c>
    </row>
    <row r="124" spans="1:5">
      <c r="A124" s="1" t="s">
        <v>1120</v>
      </c>
      <c r="B124" s="1" t="s">
        <v>444</v>
      </c>
      <c r="C124" s="1" t="s">
        <v>445</v>
      </c>
      <c r="D124" s="1" t="s">
        <v>446</v>
      </c>
      <c r="E124" s="1" t="s">
        <v>447</v>
      </c>
    </row>
    <row r="125" spans="1:5">
      <c r="A125" s="1" t="s">
        <v>1120</v>
      </c>
      <c r="B125" s="1" t="s">
        <v>448</v>
      </c>
      <c r="C125" s="1" t="s">
        <v>449</v>
      </c>
      <c r="D125" s="1" t="s">
        <v>450</v>
      </c>
      <c r="E125" s="1" t="s">
        <v>451</v>
      </c>
    </row>
    <row r="126" spans="1:5">
      <c r="A126" s="1" t="s">
        <v>1120</v>
      </c>
      <c r="B126" s="1" t="s">
        <v>452</v>
      </c>
      <c r="C126" s="1" t="s">
        <v>453</v>
      </c>
      <c r="D126" s="1" t="s">
        <v>454</v>
      </c>
      <c r="E126" s="1" t="s">
        <v>455</v>
      </c>
    </row>
    <row r="127" spans="1:5">
      <c r="A127" s="1" t="s">
        <v>1120</v>
      </c>
      <c r="B127" s="1" t="s">
        <v>456</v>
      </c>
      <c r="C127" s="1" t="s">
        <v>457</v>
      </c>
      <c r="D127" s="1" t="s">
        <v>458</v>
      </c>
      <c r="E127" s="1" t="s">
        <v>459</v>
      </c>
    </row>
    <row r="128" spans="1:5">
      <c r="A128" s="1" t="s">
        <v>1120</v>
      </c>
      <c r="B128" s="1" t="s">
        <v>460</v>
      </c>
      <c r="C128" s="1" t="s">
        <v>461</v>
      </c>
      <c r="D128" s="1" t="s">
        <v>462</v>
      </c>
      <c r="E128" s="1" t="s">
        <v>463</v>
      </c>
    </row>
    <row r="129" spans="1:5">
      <c r="A129" s="1" t="s">
        <v>1120</v>
      </c>
      <c r="B129" s="1" t="s">
        <v>464</v>
      </c>
      <c r="C129" s="1" t="s">
        <v>465</v>
      </c>
      <c r="D129" s="1" t="s">
        <v>466</v>
      </c>
      <c r="E129" s="1" t="s">
        <v>467</v>
      </c>
    </row>
    <row r="130" spans="1:5">
      <c r="A130" s="1" t="s">
        <v>1120</v>
      </c>
      <c r="B130" s="1" t="s">
        <v>468</v>
      </c>
      <c r="C130" s="1" t="s">
        <v>469</v>
      </c>
      <c r="D130" s="1" t="s">
        <v>470</v>
      </c>
      <c r="E130" s="1" t="s">
        <v>471</v>
      </c>
    </row>
    <row r="131" spans="1:5">
      <c r="A131" s="1" t="s">
        <v>1120</v>
      </c>
      <c r="B131" s="1" t="s">
        <v>472</v>
      </c>
      <c r="C131" s="1" t="s">
        <v>473</v>
      </c>
      <c r="D131" s="1" t="s">
        <v>474</v>
      </c>
      <c r="E131" s="1" t="s">
        <v>475</v>
      </c>
    </row>
    <row r="132" spans="1:5">
      <c r="A132" s="1" t="s">
        <v>1120</v>
      </c>
      <c r="B132" s="1" t="s">
        <v>476</v>
      </c>
      <c r="C132" s="1" t="s">
        <v>477</v>
      </c>
      <c r="D132" s="1" t="s">
        <v>478</v>
      </c>
      <c r="E132" s="1" t="s">
        <v>479</v>
      </c>
    </row>
    <row r="133" spans="1:5">
      <c r="A133" s="1" t="s">
        <v>1120</v>
      </c>
      <c r="B133" s="1" t="s">
        <v>480</v>
      </c>
      <c r="C133" s="1" t="s">
        <v>477</v>
      </c>
      <c r="D133" s="1" t="s">
        <v>481</v>
      </c>
      <c r="E133" s="1" t="s">
        <v>482</v>
      </c>
    </row>
    <row r="134" spans="1:5">
      <c r="A134" s="1" t="s">
        <v>1120</v>
      </c>
      <c r="B134" s="1" t="s">
        <v>483</v>
      </c>
      <c r="C134" s="1" t="s">
        <v>477</v>
      </c>
      <c r="D134" s="1" t="s">
        <v>484</v>
      </c>
      <c r="E134" s="1" t="s">
        <v>485</v>
      </c>
    </row>
    <row r="135" spans="1:5">
      <c r="A135" s="1" t="s">
        <v>1120</v>
      </c>
      <c r="B135" s="1" t="s">
        <v>486</v>
      </c>
      <c r="C135" s="1" t="s">
        <v>487</v>
      </c>
      <c r="D135" s="1" t="s">
        <v>488</v>
      </c>
      <c r="E135" s="1" t="s">
        <v>489</v>
      </c>
    </row>
    <row r="136" spans="1:5">
      <c r="A136" s="1" t="s">
        <v>1120</v>
      </c>
      <c r="B136" s="1" t="s">
        <v>490</v>
      </c>
      <c r="C136" s="1" t="s">
        <v>487</v>
      </c>
      <c r="D136" s="1" t="s">
        <v>492</v>
      </c>
      <c r="E136" s="1" t="s">
        <v>491</v>
      </c>
    </row>
    <row r="137" spans="1:5">
      <c r="A137" s="1" t="s">
        <v>1120</v>
      </c>
      <c r="B137" s="1" t="s">
        <v>493</v>
      </c>
      <c r="C137" s="1" t="s">
        <v>494</v>
      </c>
      <c r="D137" s="1" t="s">
        <v>495</v>
      </c>
      <c r="E137" s="1" t="s">
        <v>496</v>
      </c>
    </row>
    <row r="138" spans="1:5">
      <c r="A138" s="1" t="s">
        <v>1120</v>
      </c>
      <c r="B138" s="1" t="s">
        <v>497</v>
      </c>
      <c r="C138" s="1" t="s">
        <v>494</v>
      </c>
      <c r="D138" s="1" t="s">
        <v>498</v>
      </c>
      <c r="E138" s="1" t="s">
        <v>499</v>
      </c>
    </row>
    <row r="139" spans="1:5">
      <c r="A139" s="1" t="s">
        <v>1120</v>
      </c>
      <c r="B139" s="1" t="s">
        <v>500</v>
      </c>
      <c r="C139" s="1" t="s">
        <v>501</v>
      </c>
      <c r="D139" s="1" t="s">
        <v>502</v>
      </c>
      <c r="E139" s="1" t="s">
        <v>503</v>
      </c>
    </row>
    <row r="140" spans="1:5">
      <c r="A140" s="1" t="s">
        <v>1120</v>
      </c>
      <c r="B140" s="1" t="s">
        <v>504</v>
      </c>
      <c r="C140" s="1" t="s">
        <v>501</v>
      </c>
      <c r="D140" s="1" t="s">
        <v>505</v>
      </c>
      <c r="E140" s="1" t="s">
        <v>506</v>
      </c>
    </row>
    <row r="141" spans="1:5">
      <c r="A141" s="1" t="s">
        <v>1120</v>
      </c>
      <c r="B141" s="1" t="s">
        <v>507</v>
      </c>
      <c r="C141" s="1" t="s">
        <v>508</v>
      </c>
      <c r="D141" s="1" t="s">
        <v>509</v>
      </c>
      <c r="E141" s="1" t="s">
        <v>510</v>
      </c>
    </row>
    <row r="142" spans="1:5">
      <c r="A142" s="1" t="s">
        <v>1120</v>
      </c>
      <c r="B142" s="1" t="s">
        <v>511</v>
      </c>
      <c r="C142" s="1" t="s">
        <v>512</v>
      </c>
      <c r="D142" s="1" t="s">
        <v>513</v>
      </c>
      <c r="E142" s="1" t="s">
        <v>514</v>
      </c>
    </row>
    <row r="143" spans="1:5">
      <c r="A143" s="1" t="s">
        <v>1120</v>
      </c>
      <c r="B143" s="1" t="s">
        <v>515</v>
      </c>
      <c r="C143" s="1" t="s">
        <v>516</v>
      </c>
      <c r="D143" s="1" t="s">
        <v>517</v>
      </c>
      <c r="E143" s="1" t="s">
        <v>518</v>
      </c>
    </row>
    <row r="144" spans="1:5">
      <c r="A144" s="1" t="s">
        <v>1120</v>
      </c>
      <c r="B144" s="1" t="s">
        <v>519</v>
      </c>
      <c r="C144" s="1" t="s">
        <v>516</v>
      </c>
      <c r="D144" s="1" t="s">
        <v>520</v>
      </c>
      <c r="E144" s="1" t="s">
        <v>521</v>
      </c>
    </row>
    <row r="145" spans="1:5">
      <c r="A145" s="1" t="s">
        <v>1120</v>
      </c>
      <c r="B145" s="1" t="s">
        <v>522</v>
      </c>
      <c r="C145" s="1" t="s">
        <v>523</v>
      </c>
      <c r="D145" s="1" t="s">
        <v>524</v>
      </c>
      <c r="E145" s="1" t="s">
        <v>525</v>
      </c>
    </row>
    <row r="146" spans="1:5">
      <c r="A146" s="1" t="s">
        <v>1120</v>
      </c>
      <c r="B146" s="1" t="s">
        <v>526</v>
      </c>
      <c r="C146" s="1" t="s">
        <v>527</v>
      </c>
      <c r="D146" s="1" t="s">
        <v>528</v>
      </c>
      <c r="E146" s="1" t="s">
        <v>529</v>
      </c>
    </row>
    <row r="147" spans="1:5">
      <c r="A147" s="1" t="s">
        <v>1120</v>
      </c>
      <c r="B147" s="1" t="s">
        <v>530</v>
      </c>
      <c r="C147" s="1" t="s">
        <v>527</v>
      </c>
      <c r="D147" s="1" t="s">
        <v>531</v>
      </c>
      <c r="E147" s="1" t="s">
        <v>532</v>
      </c>
    </row>
    <row r="148" spans="1:5">
      <c r="A148" s="1" t="s">
        <v>1120</v>
      </c>
      <c r="B148" s="1" t="s">
        <v>533</v>
      </c>
      <c r="C148" s="1" t="s">
        <v>534</v>
      </c>
      <c r="D148" s="1" t="s">
        <v>535</v>
      </c>
      <c r="E148" s="1" t="s">
        <v>536</v>
      </c>
    </row>
    <row r="149" spans="1:5">
      <c r="A149" s="1" t="s">
        <v>1120</v>
      </c>
      <c r="B149" s="1" t="s">
        <v>537</v>
      </c>
      <c r="C149" s="1" t="s">
        <v>539</v>
      </c>
      <c r="D149" s="1" t="s">
        <v>540</v>
      </c>
      <c r="E149" s="1" t="s">
        <v>541</v>
      </c>
    </row>
    <row r="150" spans="1:5">
      <c r="A150" s="1" t="s">
        <v>1120</v>
      </c>
      <c r="B150" s="1" t="s">
        <v>542</v>
      </c>
      <c r="C150" s="1" t="s">
        <v>539</v>
      </c>
      <c r="D150" s="1" t="s">
        <v>543</v>
      </c>
      <c r="E150" s="1" t="s">
        <v>538</v>
      </c>
    </row>
    <row r="151" spans="1:5">
      <c r="A151" s="1" t="s">
        <v>1120</v>
      </c>
      <c r="B151" s="1" t="s">
        <v>544</v>
      </c>
      <c r="C151" s="1" t="s">
        <v>545</v>
      </c>
      <c r="D151" s="1" t="s">
        <v>546</v>
      </c>
      <c r="E151" s="1" t="s">
        <v>547</v>
      </c>
    </row>
    <row r="152" spans="1:5">
      <c r="A152" s="1" t="s">
        <v>1120</v>
      </c>
      <c r="B152" s="1" t="s">
        <v>548</v>
      </c>
      <c r="C152" s="1" t="s">
        <v>545</v>
      </c>
      <c r="D152" s="1" t="s">
        <v>549</v>
      </c>
      <c r="E152" s="1" t="s">
        <v>550</v>
      </c>
    </row>
    <row r="153" spans="1:5">
      <c r="A153" s="1" t="s">
        <v>1120</v>
      </c>
      <c r="B153" s="1" t="s">
        <v>551</v>
      </c>
      <c r="C153" s="1" t="s">
        <v>552</v>
      </c>
      <c r="D153" s="1" t="s">
        <v>553</v>
      </c>
      <c r="E153" s="1" t="s">
        <v>554</v>
      </c>
    </row>
    <row r="154" spans="1:5">
      <c r="A154" s="1" t="s">
        <v>1120</v>
      </c>
      <c r="B154" s="1" t="s">
        <v>555</v>
      </c>
      <c r="C154" s="1" t="s">
        <v>552</v>
      </c>
      <c r="D154" s="1" t="s">
        <v>556</v>
      </c>
      <c r="E154" s="1" t="s">
        <v>557</v>
      </c>
    </row>
    <row r="155" spans="1:5">
      <c r="A155" s="1" t="s">
        <v>1120</v>
      </c>
      <c r="B155" s="1" t="s">
        <v>558</v>
      </c>
      <c r="C155" s="1" t="s">
        <v>559</v>
      </c>
      <c r="D155" s="1" t="s">
        <v>560</v>
      </c>
      <c r="E155" s="1" t="s">
        <v>561</v>
      </c>
    </row>
    <row r="156" spans="1:5">
      <c r="A156" s="1" t="s">
        <v>1120</v>
      </c>
      <c r="B156" s="1" t="s">
        <v>562</v>
      </c>
      <c r="C156" s="1" t="s">
        <v>563</v>
      </c>
      <c r="D156" s="1" t="s">
        <v>564</v>
      </c>
      <c r="E156" s="1" t="s">
        <v>565</v>
      </c>
    </row>
    <row r="157" spans="1:5">
      <c r="A157" s="1" t="s">
        <v>1120</v>
      </c>
      <c r="B157" s="1" t="s">
        <v>566</v>
      </c>
      <c r="C157" s="1" t="s">
        <v>567</v>
      </c>
      <c r="D157" s="1" t="s">
        <v>568</v>
      </c>
      <c r="E157" s="1" t="s">
        <v>569</v>
      </c>
    </row>
    <row r="158" spans="1:5">
      <c r="A158" s="1" t="s">
        <v>1120</v>
      </c>
      <c r="B158" s="1" t="s">
        <v>570</v>
      </c>
      <c r="C158" s="1" t="s">
        <v>567</v>
      </c>
      <c r="D158" s="1" t="s">
        <v>571</v>
      </c>
      <c r="E158" s="1" t="s">
        <v>572</v>
      </c>
    </row>
    <row r="159" spans="1:5">
      <c r="A159" s="1" t="s">
        <v>1120</v>
      </c>
      <c r="B159" s="1" t="s">
        <v>573</v>
      </c>
      <c r="C159" s="1" t="s">
        <v>567</v>
      </c>
      <c r="D159" s="1" t="s">
        <v>574</v>
      </c>
      <c r="E159" s="1" t="s">
        <v>9</v>
      </c>
    </row>
    <row r="160" spans="1:5">
      <c r="A160" s="1" t="s">
        <v>1120</v>
      </c>
      <c r="B160" s="1" t="s">
        <v>575</v>
      </c>
      <c r="C160" s="1" t="s">
        <v>576</v>
      </c>
      <c r="D160" s="1" t="s">
        <v>577</v>
      </c>
      <c r="E160" s="1" t="s">
        <v>9</v>
      </c>
    </row>
    <row r="161" spans="1:5">
      <c r="A161" s="1" t="s">
        <v>1120</v>
      </c>
      <c r="B161" s="1" t="s">
        <v>578</v>
      </c>
      <c r="C161" s="1" t="s">
        <v>579</v>
      </c>
      <c r="D161" s="1" t="s">
        <v>580</v>
      </c>
      <c r="E161" s="1" t="s">
        <v>581</v>
      </c>
    </row>
    <row r="162" spans="1:5">
      <c r="A162" s="1" t="s">
        <v>1120</v>
      </c>
      <c r="B162" s="1" t="s">
        <v>582</v>
      </c>
      <c r="C162" s="1" t="s">
        <v>583</v>
      </c>
      <c r="D162" s="1" t="s">
        <v>584</v>
      </c>
      <c r="E162" s="1" t="s">
        <v>585</v>
      </c>
    </row>
    <row r="163" spans="1:5">
      <c r="A163" s="1" t="s">
        <v>1120</v>
      </c>
      <c r="B163" s="1" t="s">
        <v>586</v>
      </c>
      <c r="C163" s="1" t="s">
        <v>587</v>
      </c>
      <c r="D163" s="1" t="s">
        <v>588</v>
      </c>
      <c r="E163" s="1" t="s">
        <v>589</v>
      </c>
    </row>
    <row r="164" spans="1:5">
      <c r="A164" s="1" t="s">
        <v>1120</v>
      </c>
      <c r="B164" s="1" t="s">
        <v>590</v>
      </c>
      <c r="C164" s="1" t="s">
        <v>591</v>
      </c>
      <c r="D164" s="1" t="s">
        <v>592</v>
      </c>
      <c r="E164" s="1" t="s">
        <v>593</v>
      </c>
    </row>
    <row r="165" spans="1:5">
      <c r="A165" s="1" t="s">
        <v>1120</v>
      </c>
      <c r="B165" s="1" t="s">
        <v>594</v>
      </c>
      <c r="C165" s="1" t="s">
        <v>583</v>
      </c>
      <c r="D165" s="1" t="s">
        <v>595</v>
      </c>
      <c r="E165" s="1" t="s">
        <v>596</v>
      </c>
    </row>
    <row r="166" spans="1:5">
      <c r="A166" s="1" t="s">
        <v>1120</v>
      </c>
      <c r="B166" s="1" t="s">
        <v>597</v>
      </c>
      <c r="C166" s="1" t="s">
        <v>598</v>
      </c>
      <c r="D166" s="1" t="s">
        <v>599</v>
      </c>
      <c r="E166" s="1" t="s">
        <v>600</v>
      </c>
    </row>
    <row r="167" spans="1:5">
      <c r="A167" s="1" t="s">
        <v>1120</v>
      </c>
      <c r="B167" s="1" t="s">
        <v>601</v>
      </c>
      <c r="C167" s="1" t="s">
        <v>602</v>
      </c>
      <c r="D167" s="1" t="s">
        <v>603</v>
      </c>
      <c r="E167" s="1" t="s">
        <v>604</v>
      </c>
    </row>
    <row r="168" spans="1:5">
      <c r="A168" s="1" t="s">
        <v>1120</v>
      </c>
      <c r="B168" s="1" t="s">
        <v>605</v>
      </c>
      <c r="C168" s="1" t="s">
        <v>606</v>
      </c>
      <c r="D168" s="1" t="s">
        <v>607</v>
      </c>
      <c r="E168" s="1" t="s">
        <v>608</v>
      </c>
    </row>
    <row r="169" spans="1:5">
      <c r="A169" s="1" t="s">
        <v>1120</v>
      </c>
      <c r="B169" s="1" t="s">
        <v>609</v>
      </c>
      <c r="C169" s="1" t="s">
        <v>606</v>
      </c>
      <c r="D169" s="1" t="s">
        <v>610</v>
      </c>
      <c r="E169" s="1" t="s">
        <v>611</v>
      </c>
    </row>
    <row r="170" spans="1:5">
      <c r="A170" s="1" t="s">
        <v>1120</v>
      </c>
      <c r="B170" s="1" t="s">
        <v>612</v>
      </c>
      <c r="C170" s="1" t="s">
        <v>613</v>
      </c>
      <c r="D170" s="1" t="s">
        <v>614</v>
      </c>
      <c r="E170" s="1" t="s">
        <v>615</v>
      </c>
    </row>
    <row r="171" spans="1:5">
      <c r="A171" s="1" t="s">
        <v>1120</v>
      </c>
      <c r="B171" s="1" t="s">
        <v>616</v>
      </c>
      <c r="C171" s="1" t="s">
        <v>617</v>
      </c>
      <c r="D171" s="1" t="s">
        <v>618</v>
      </c>
      <c r="E171" s="1" t="s">
        <v>619</v>
      </c>
    </row>
    <row r="172" spans="1:5">
      <c r="A172" s="1" t="s">
        <v>1120</v>
      </c>
      <c r="B172" s="1" t="s">
        <v>620</v>
      </c>
      <c r="C172" s="1" t="s">
        <v>621</v>
      </c>
      <c r="D172" s="1" t="s">
        <v>622</v>
      </c>
      <c r="E172" s="1" t="s">
        <v>623</v>
      </c>
    </row>
    <row r="173" spans="1:5">
      <c r="A173" s="1" t="s">
        <v>1120</v>
      </c>
      <c r="B173" s="1" t="s">
        <v>624</v>
      </c>
      <c r="C173" s="1" t="s">
        <v>625</v>
      </c>
      <c r="D173" s="1" t="s">
        <v>626</v>
      </c>
      <c r="E173" s="1" t="s">
        <v>627</v>
      </c>
    </row>
    <row r="174" spans="1:5">
      <c r="A174" s="1" t="s">
        <v>1120</v>
      </c>
      <c r="B174" s="1" t="s">
        <v>628</v>
      </c>
      <c r="C174" s="1" t="s">
        <v>629</v>
      </c>
      <c r="D174" s="1" t="s">
        <v>630</v>
      </c>
      <c r="E174" s="1" t="s">
        <v>631</v>
      </c>
    </row>
    <row r="175" spans="1:5">
      <c r="A175" s="1" t="s">
        <v>1120</v>
      </c>
      <c r="B175" s="1" t="s">
        <v>632</v>
      </c>
      <c r="C175" s="1" t="s">
        <v>629</v>
      </c>
      <c r="D175" s="1" t="s">
        <v>633</v>
      </c>
      <c r="E175" s="1" t="s">
        <v>634</v>
      </c>
    </row>
    <row r="176" spans="1:5">
      <c r="A176" s="1" t="s">
        <v>1120</v>
      </c>
      <c r="B176" s="1" t="s">
        <v>635</v>
      </c>
      <c r="C176" s="1" t="s">
        <v>636</v>
      </c>
      <c r="D176" s="1" t="s">
        <v>637</v>
      </c>
      <c r="E176" s="1" t="s">
        <v>638</v>
      </c>
    </row>
    <row r="177" spans="1:5">
      <c r="A177" s="1" t="s">
        <v>1120</v>
      </c>
      <c r="B177" s="1" t="s">
        <v>639</v>
      </c>
      <c r="C177" s="1" t="s">
        <v>640</v>
      </c>
      <c r="D177" s="1" t="s">
        <v>641</v>
      </c>
      <c r="E177" s="1" t="s">
        <v>642</v>
      </c>
    </row>
    <row r="178" spans="1:5">
      <c r="A178" s="1" t="s">
        <v>1120</v>
      </c>
      <c r="B178" s="1" t="s">
        <v>643</v>
      </c>
      <c r="C178" s="1" t="s">
        <v>644</v>
      </c>
      <c r="D178" s="1" t="s">
        <v>645</v>
      </c>
      <c r="E178" s="1" t="s">
        <v>646</v>
      </c>
    </row>
    <row r="179" spans="1:5">
      <c r="A179" s="1" t="s">
        <v>1120</v>
      </c>
      <c r="B179" s="1" t="s">
        <v>647</v>
      </c>
      <c r="C179" s="1" t="s">
        <v>644</v>
      </c>
      <c r="D179" s="1" t="s">
        <v>648</v>
      </c>
      <c r="E179" s="1" t="s">
        <v>649</v>
      </c>
    </row>
    <row r="180" spans="1:5">
      <c r="A180" s="1" t="s">
        <v>1120</v>
      </c>
      <c r="B180" s="1" t="s">
        <v>650</v>
      </c>
      <c r="C180" s="1" t="s">
        <v>651</v>
      </c>
      <c r="D180" s="1" t="s">
        <v>652</v>
      </c>
      <c r="E180" s="1" t="s">
        <v>653</v>
      </c>
    </row>
    <row r="181" spans="1:5">
      <c r="A181" s="1" t="s">
        <v>1120</v>
      </c>
      <c r="B181" s="1" t="s">
        <v>654</v>
      </c>
      <c r="C181" s="1" t="s">
        <v>655</v>
      </c>
      <c r="D181" s="1" t="s">
        <v>656</v>
      </c>
      <c r="E181" s="1" t="s">
        <v>657</v>
      </c>
    </row>
    <row r="182" spans="1:5">
      <c r="A182" s="1" t="s">
        <v>1120</v>
      </c>
      <c r="B182" s="1" t="s">
        <v>658</v>
      </c>
      <c r="C182" s="1" t="s">
        <v>659</v>
      </c>
      <c r="D182" s="1" t="s">
        <v>660</v>
      </c>
      <c r="E182" s="1" t="s">
        <v>661</v>
      </c>
    </row>
    <row r="183" spans="1:5">
      <c r="A183" s="1" t="s">
        <v>1120</v>
      </c>
      <c r="B183" s="1" t="s">
        <v>662</v>
      </c>
      <c r="C183" s="1" t="s">
        <v>663</v>
      </c>
      <c r="D183" s="1" t="s">
        <v>664</v>
      </c>
      <c r="E183" s="1" t="s">
        <v>665</v>
      </c>
    </row>
    <row r="184" spans="1:5">
      <c r="A184" s="1" t="s">
        <v>1120</v>
      </c>
      <c r="B184" s="1" t="s">
        <v>666</v>
      </c>
      <c r="C184" s="1" t="s">
        <v>667</v>
      </c>
      <c r="D184" s="1" t="s">
        <v>668</v>
      </c>
      <c r="E184" s="1" t="s">
        <v>669</v>
      </c>
    </row>
    <row r="185" spans="1:5">
      <c r="A185" s="1" t="s">
        <v>1120</v>
      </c>
      <c r="B185" s="1" t="s">
        <v>670</v>
      </c>
      <c r="C185" s="1" t="s">
        <v>671</v>
      </c>
      <c r="D185" s="1" t="s">
        <v>672</v>
      </c>
      <c r="E185" s="1" t="s">
        <v>673</v>
      </c>
    </row>
    <row r="186" spans="1:5">
      <c r="A186" s="1" t="s">
        <v>1120</v>
      </c>
      <c r="B186" s="1" t="s">
        <v>674</v>
      </c>
      <c r="C186" s="1" t="s">
        <v>675</v>
      </c>
      <c r="D186" s="1" t="s">
        <v>676</v>
      </c>
      <c r="E186" s="1" t="s">
        <v>677</v>
      </c>
    </row>
    <row r="187" spans="1:5">
      <c r="A187" s="1" t="s">
        <v>1120</v>
      </c>
      <c r="B187" s="1" t="s">
        <v>678</v>
      </c>
      <c r="C187" s="1" t="s">
        <v>675</v>
      </c>
      <c r="D187" s="1" t="s">
        <v>679</v>
      </c>
      <c r="E187" s="1" t="s">
        <v>680</v>
      </c>
    </row>
    <row r="188" spans="1:5">
      <c r="A188" s="1" t="s">
        <v>1120</v>
      </c>
      <c r="B188" s="1" t="s">
        <v>681</v>
      </c>
      <c r="C188" s="1" t="s">
        <v>682</v>
      </c>
      <c r="D188" s="1" t="s">
        <v>683</v>
      </c>
      <c r="E188" s="1" t="s">
        <v>684</v>
      </c>
    </row>
    <row r="189" spans="1:5">
      <c r="A189" s="1" t="s">
        <v>1120</v>
      </c>
      <c r="B189" s="1" t="s">
        <v>685</v>
      </c>
      <c r="C189" s="1" t="s">
        <v>686</v>
      </c>
      <c r="D189" s="1" t="s">
        <v>687</v>
      </c>
      <c r="E189" s="1" t="s">
        <v>688</v>
      </c>
    </row>
    <row r="190" spans="1:5">
      <c r="A190" s="1" t="s">
        <v>1120</v>
      </c>
      <c r="B190" s="1" t="s">
        <v>689</v>
      </c>
      <c r="C190" s="1" t="s">
        <v>690</v>
      </c>
      <c r="D190" s="1" t="s">
        <v>691</v>
      </c>
      <c r="E190" s="1" t="s">
        <v>692</v>
      </c>
    </row>
    <row r="191" spans="1:5">
      <c r="A191" s="1" t="s">
        <v>1120</v>
      </c>
      <c r="B191" s="1" t="s">
        <v>693</v>
      </c>
      <c r="C191" s="1" t="s">
        <v>694</v>
      </c>
      <c r="D191" s="1" t="s">
        <v>695</v>
      </c>
      <c r="E191" s="1" t="s">
        <v>696</v>
      </c>
    </row>
    <row r="192" spans="1:5">
      <c r="A192" s="1" t="s">
        <v>1120</v>
      </c>
      <c r="B192" s="1" t="s">
        <v>697</v>
      </c>
      <c r="C192" s="1" t="s">
        <v>698</v>
      </c>
      <c r="D192" s="1" t="s">
        <v>699</v>
      </c>
      <c r="E192" s="1" t="s">
        <v>700</v>
      </c>
    </row>
    <row r="193" spans="1:5">
      <c r="A193" s="1" t="s">
        <v>1120</v>
      </c>
      <c r="B193" s="1" t="s">
        <v>701</v>
      </c>
      <c r="C193" s="1" t="s">
        <v>698</v>
      </c>
      <c r="D193" s="1" t="s">
        <v>702</v>
      </c>
      <c r="E193" s="1" t="s">
        <v>703</v>
      </c>
    </row>
    <row r="194" spans="1:5">
      <c r="A194" s="1" t="s">
        <v>1120</v>
      </c>
      <c r="B194" s="1" t="s">
        <v>704</v>
      </c>
      <c r="C194" s="1" t="s">
        <v>698</v>
      </c>
      <c r="D194" s="1" t="s">
        <v>705</v>
      </c>
      <c r="E194" s="1" t="s">
        <v>706</v>
      </c>
    </row>
    <row r="195" spans="1:5">
      <c r="A195" s="1" t="s">
        <v>1120</v>
      </c>
      <c r="B195" s="1" t="s">
        <v>707</v>
      </c>
      <c r="C195" s="1" t="s">
        <v>708</v>
      </c>
      <c r="D195" s="1" t="s">
        <v>709</v>
      </c>
      <c r="E195" s="1" t="s">
        <v>710</v>
      </c>
    </row>
    <row r="196" spans="1:5">
      <c r="A196" s="1" t="s">
        <v>1120</v>
      </c>
      <c r="B196" s="1" t="s">
        <v>711</v>
      </c>
      <c r="C196" s="1" t="s">
        <v>712</v>
      </c>
      <c r="D196" s="1" t="s">
        <v>713</v>
      </c>
      <c r="E196" s="1" t="s">
        <v>714</v>
      </c>
    </row>
    <row r="197" spans="1:5">
      <c r="A197" s="1" t="s">
        <v>1120</v>
      </c>
      <c r="B197" s="1" t="s">
        <v>715</v>
      </c>
      <c r="C197" s="1" t="s">
        <v>716</v>
      </c>
      <c r="D197" s="1" t="s">
        <v>717</v>
      </c>
      <c r="E197" s="1" t="s">
        <v>718</v>
      </c>
    </row>
    <row r="198" spans="1:5">
      <c r="A198" s="1" t="s">
        <v>1120</v>
      </c>
      <c r="B198" s="1" t="s">
        <v>719</v>
      </c>
      <c r="C198" s="1" t="s">
        <v>720</v>
      </c>
      <c r="D198" s="1" t="s">
        <v>721</v>
      </c>
      <c r="E198" s="1" t="s">
        <v>722</v>
      </c>
    </row>
    <row r="199" spans="1:5">
      <c r="A199" s="1" t="s">
        <v>1120</v>
      </c>
      <c r="B199" s="1" t="s">
        <v>723</v>
      </c>
      <c r="C199" s="1" t="s">
        <v>720</v>
      </c>
      <c r="D199" s="1" t="s">
        <v>724</v>
      </c>
      <c r="E199" s="1" t="s">
        <v>725</v>
      </c>
    </row>
    <row r="200" spans="1:5">
      <c r="A200" s="1" t="s">
        <v>1120</v>
      </c>
      <c r="B200" s="1" t="s">
        <v>726</v>
      </c>
      <c r="C200" s="1" t="s">
        <v>720</v>
      </c>
      <c r="D200" s="1" t="s">
        <v>727</v>
      </c>
      <c r="E200" s="1" t="s">
        <v>728</v>
      </c>
    </row>
    <row r="201" spans="1:5">
      <c r="A201" s="1" t="s">
        <v>1120</v>
      </c>
      <c r="B201" s="1" t="s">
        <v>729</v>
      </c>
      <c r="C201" s="1" t="s">
        <v>730</v>
      </c>
      <c r="D201" s="1" t="s">
        <v>731</v>
      </c>
      <c r="E201" s="1" t="s">
        <v>732</v>
      </c>
    </row>
    <row r="202" spans="1:5">
      <c r="A202" s="1" t="s">
        <v>1120</v>
      </c>
      <c r="B202" s="1" t="s">
        <v>733</v>
      </c>
      <c r="C202" s="1" t="s">
        <v>730</v>
      </c>
      <c r="D202" s="1" t="s">
        <v>734</v>
      </c>
      <c r="E202" s="1" t="s">
        <v>735</v>
      </c>
    </row>
    <row r="203" spans="1:5">
      <c r="A203" s="1" t="s">
        <v>1120</v>
      </c>
      <c r="B203" s="1" t="s">
        <v>736</v>
      </c>
      <c r="C203" s="1" t="s">
        <v>737</v>
      </c>
      <c r="D203" s="1" t="s">
        <v>738</v>
      </c>
      <c r="E203" s="1" t="s">
        <v>739</v>
      </c>
    </row>
    <row r="204" spans="1:5">
      <c r="A204" s="1" t="s">
        <v>1120</v>
      </c>
      <c r="B204" s="1" t="s">
        <v>740</v>
      </c>
      <c r="C204" s="1" t="s">
        <v>741</v>
      </c>
      <c r="D204" s="1" t="s">
        <v>742</v>
      </c>
      <c r="E204" s="1" t="s">
        <v>743</v>
      </c>
    </row>
    <row r="205" spans="1:5">
      <c r="A205" s="1" t="s">
        <v>1120</v>
      </c>
      <c r="B205" s="1" t="s">
        <v>744</v>
      </c>
      <c r="C205" s="1" t="s">
        <v>741</v>
      </c>
      <c r="D205" s="1" t="s">
        <v>745</v>
      </c>
      <c r="E205" s="1" t="s">
        <v>746</v>
      </c>
    </row>
    <row r="206" spans="1:5">
      <c r="A206" s="1" t="s">
        <v>1120</v>
      </c>
      <c r="B206" s="1" t="s">
        <v>747</v>
      </c>
      <c r="C206" s="1" t="s">
        <v>748</v>
      </c>
      <c r="D206" s="1" t="s">
        <v>749</v>
      </c>
      <c r="E206" s="1" t="s">
        <v>750</v>
      </c>
    </row>
    <row r="207" spans="1:5">
      <c r="A207" s="1" t="s">
        <v>1120</v>
      </c>
      <c r="B207" s="1" t="s">
        <v>751</v>
      </c>
      <c r="C207" s="1" t="s">
        <v>752</v>
      </c>
      <c r="D207" s="1" t="s">
        <v>753</v>
      </c>
      <c r="E207" s="1" t="s">
        <v>754</v>
      </c>
    </row>
    <row r="208" spans="1:5">
      <c r="A208" s="1" t="s">
        <v>1120</v>
      </c>
      <c r="B208" s="1" t="s">
        <v>755</v>
      </c>
      <c r="C208" s="1" t="s">
        <v>756</v>
      </c>
      <c r="D208" s="1" t="s">
        <v>757</v>
      </c>
      <c r="E208" s="1" t="s">
        <v>758</v>
      </c>
    </row>
    <row r="209" spans="1:5">
      <c r="A209" s="1" t="s">
        <v>1120</v>
      </c>
      <c r="B209" s="1" t="s">
        <v>759</v>
      </c>
      <c r="C209" s="1" t="s">
        <v>730</v>
      </c>
      <c r="D209" s="1" t="s">
        <v>760</v>
      </c>
      <c r="E209" s="1" t="s">
        <v>761</v>
      </c>
    </row>
    <row r="210" spans="1:5">
      <c r="A210" s="1" t="s">
        <v>1120</v>
      </c>
      <c r="B210" s="1" t="s">
        <v>762</v>
      </c>
      <c r="C210" s="1" t="s">
        <v>763</v>
      </c>
      <c r="D210" s="1" t="s">
        <v>764</v>
      </c>
      <c r="E210" s="1" t="s">
        <v>765</v>
      </c>
    </row>
    <row r="211" spans="1:5">
      <c r="A211" s="1" t="s">
        <v>1120</v>
      </c>
      <c r="B211" s="1" t="s">
        <v>766</v>
      </c>
      <c r="C211" s="1" t="s">
        <v>767</v>
      </c>
      <c r="D211" s="1" t="s">
        <v>768</v>
      </c>
      <c r="E211" s="1" t="s">
        <v>769</v>
      </c>
    </row>
    <row r="212" spans="1:5">
      <c r="A212" s="1" t="s">
        <v>1120</v>
      </c>
      <c r="B212" s="1" t="s">
        <v>770</v>
      </c>
      <c r="C212" s="1" t="s">
        <v>771</v>
      </c>
      <c r="D212" s="1" t="s">
        <v>772</v>
      </c>
      <c r="E212" s="1" t="s">
        <v>773</v>
      </c>
    </row>
    <row r="213" spans="1:5">
      <c r="A213" s="1" t="s">
        <v>1120</v>
      </c>
      <c r="B213" s="1" t="s">
        <v>774</v>
      </c>
      <c r="C213" s="1" t="s">
        <v>775</v>
      </c>
      <c r="D213" s="1" t="s">
        <v>776</v>
      </c>
      <c r="E213" s="1" t="s">
        <v>777</v>
      </c>
    </row>
    <row r="214" spans="1:5">
      <c r="A214" s="1" t="s">
        <v>1120</v>
      </c>
      <c r="B214" s="1" t="s">
        <v>778</v>
      </c>
      <c r="C214" s="1" t="s">
        <v>779</v>
      </c>
      <c r="D214" s="1" t="s">
        <v>780</v>
      </c>
      <c r="E214" s="1" t="s">
        <v>781</v>
      </c>
    </row>
    <row r="215" spans="1:5">
      <c r="A215" s="1" t="s">
        <v>1120</v>
      </c>
      <c r="B215" s="1" t="s">
        <v>782</v>
      </c>
      <c r="C215" s="1" t="s">
        <v>783</v>
      </c>
      <c r="D215" s="1" t="s">
        <v>784</v>
      </c>
      <c r="E215" s="1" t="s">
        <v>785</v>
      </c>
    </row>
    <row r="216" spans="1:5">
      <c r="A216" s="1" t="s">
        <v>1120</v>
      </c>
      <c r="B216" s="1" t="s">
        <v>786</v>
      </c>
      <c r="C216" s="1" t="s">
        <v>787</v>
      </c>
      <c r="D216" s="1" t="s">
        <v>788</v>
      </c>
      <c r="E216" s="1" t="s">
        <v>789</v>
      </c>
    </row>
    <row r="217" spans="1:5">
      <c r="A217" s="1" t="s">
        <v>1120</v>
      </c>
      <c r="B217" s="1" t="s">
        <v>790</v>
      </c>
      <c r="C217" s="1" t="s">
        <v>787</v>
      </c>
      <c r="D217" s="1" t="s">
        <v>791</v>
      </c>
      <c r="E217" s="1" t="s">
        <v>792</v>
      </c>
    </row>
    <row r="218" spans="1:5">
      <c r="A218" s="1" t="s">
        <v>1120</v>
      </c>
      <c r="B218" s="1" t="s">
        <v>793</v>
      </c>
      <c r="C218" s="1" t="s">
        <v>787</v>
      </c>
      <c r="D218" s="1" t="s">
        <v>794</v>
      </c>
      <c r="E218" s="1" t="s">
        <v>795</v>
      </c>
    </row>
    <row r="219" spans="1:5">
      <c r="A219" s="1" t="s">
        <v>1120</v>
      </c>
      <c r="B219" s="1" t="s">
        <v>796</v>
      </c>
      <c r="C219" s="1" t="s">
        <v>797</v>
      </c>
      <c r="D219" s="1" t="s">
        <v>798</v>
      </c>
      <c r="E219" s="1" t="s">
        <v>799</v>
      </c>
    </row>
    <row r="220" spans="1:5">
      <c r="A220" s="1" t="s">
        <v>1120</v>
      </c>
      <c r="B220" s="1" t="s">
        <v>800</v>
      </c>
      <c r="C220" s="1" t="s">
        <v>797</v>
      </c>
      <c r="D220" s="1" t="s">
        <v>801</v>
      </c>
      <c r="E220" s="1" t="s">
        <v>802</v>
      </c>
    </row>
    <row r="221" spans="1:5">
      <c r="A221" s="1" t="s">
        <v>1120</v>
      </c>
      <c r="B221" s="1" t="s">
        <v>803</v>
      </c>
      <c r="C221" s="1" t="s">
        <v>804</v>
      </c>
      <c r="D221" s="1" t="s">
        <v>805</v>
      </c>
      <c r="E221" s="1" t="s">
        <v>806</v>
      </c>
    </row>
    <row r="222" spans="1:5">
      <c r="A222" s="1" t="s">
        <v>1120</v>
      </c>
      <c r="B222" s="1" t="s">
        <v>807</v>
      </c>
      <c r="C222" s="1" t="s">
        <v>804</v>
      </c>
      <c r="D222" s="1" t="s">
        <v>808</v>
      </c>
      <c r="E222" s="1" t="s">
        <v>809</v>
      </c>
    </row>
    <row r="223" spans="1:5">
      <c r="A223" s="1" t="s">
        <v>1120</v>
      </c>
      <c r="B223" s="1" t="s">
        <v>810</v>
      </c>
      <c r="C223" s="1" t="s">
        <v>811</v>
      </c>
      <c r="D223" s="1" t="s">
        <v>812</v>
      </c>
      <c r="E223" s="1" t="s">
        <v>813</v>
      </c>
    </row>
    <row r="224" spans="1:5">
      <c r="A224" s="1" t="s">
        <v>1120</v>
      </c>
      <c r="B224" s="1" t="s">
        <v>814</v>
      </c>
      <c r="C224" s="1" t="s">
        <v>815</v>
      </c>
      <c r="D224" s="1" t="s">
        <v>816</v>
      </c>
      <c r="E224" s="1" t="s">
        <v>817</v>
      </c>
    </row>
    <row r="225" spans="1:5">
      <c r="A225" s="1" t="s">
        <v>1120</v>
      </c>
      <c r="B225" s="1" t="s">
        <v>818</v>
      </c>
      <c r="C225" s="1" t="s">
        <v>819</v>
      </c>
      <c r="D225" s="1" t="s">
        <v>820</v>
      </c>
      <c r="E225" s="1" t="s">
        <v>821</v>
      </c>
    </row>
    <row r="226" spans="1:5">
      <c r="A226" s="1" t="s">
        <v>1120</v>
      </c>
      <c r="B226" s="1" t="s">
        <v>822</v>
      </c>
      <c r="C226" s="1" t="s">
        <v>823</v>
      </c>
      <c r="D226" s="1" t="s">
        <v>824</v>
      </c>
      <c r="E226" s="1" t="s">
        <v>825</v>
      </c>
    </row>
    <row r="227" spans="1:5">
      <c r="A227" s="1" t="s">
        <v>1120</v>
      </c>
      <c r="B227" s="1" t="s">
        <v>826</v>
      </c>
      <c r="C227" s="1" t="s">
        <v>815</v>
      </c>
      <c r="D227" s="1" t="s">
        <v>827</v>
      </c>
      <c r="E227" s="1" t="s">
        <v>828</v>
      </c>
    </row>
    <row r="228" spans="1:5">
      <c r="A228" s="1" t="s">
        <v>1120</v>
      </c>
      <c r="B228" s="1" t="s">
        <v>829</v>
      </c>
      <c r="C228" s="1" t="s">
        <v>830</v>
      </c>
      <c r="D228" s="1" t="s">
        <v>831</v>
      </c>
      <c r="E228" s="1" t="s">
        <v>832</v>
      </c>
    </row>
    <row r="229" spans="1:5">
      <c r="A229" s="1" t="s">
        <v>1120</v>
      </c>
      <c r="B229" s="1" t="s">
        <v>833</v>
      </c>
      <c r="C229" s="1" t="s">
        <v>834</v>
      </c>
      <c r="D229" s="1" t="s">
        <v>835</v>
      </c>
      <c r="E229" s="1" t="s">
        <v>836</v>
      </c>
    </row>
    <row r="230" spans="1:5">
      <c r="A230" s="1" t="s">
        <v>1120</v>
      </c>
      <c r="B230" s="1" t="s">
        <v>837</v>
      </c>
      <c r="C230" s="1" t="s">
        <v>838</v>
      </c>
      <c r="D230" s="1" t="s">
        <v>839</v>
      </c>
      <c r="E230" s="1" t="s">
        <v>840</v>
      </c>
    </row>
    <row r="231" spans="1:5">
      <c r="A231" s="1" t="s">
        <v>1120</v>
      </c>
      <c r="B231" s="1" t="s">
        <v>841</v>
      </c>
      <c r="C231" s="1" t="s">
        <v>842</v>
      </c>
      <c r="D231" s="1" t="s">
        <v>843</v>
      </c>
      <c r="E231" s="1" t="s">
        <v>844</v>
      </c>
    </row>
    <row r="232" spans="1:5">
      <c r="A232" s="1" t="s">
        <v>1120</v>
      </c>
      <c r="B232" s="1" t="s">
        <v>845</v>
      </c>
      <c r="C232" s="1" t="s">
        <v>846</v>
      </c>
      <c r="D232" s="1" t="s">
        <v>847</v>
      </c>
      <c r="E232" s="1" t="s">
        <v>848</v>
      </c>
    </row>
    <row r="233" spans="1:5">
      <c r="A233" s="1" t="s">
        <v>1120</v>
      </c>
      <c r="B233" s="1" t="s">
        <v>849</v>
      </c>
      <c r="C233" s="1" t="s">
        <v>850</v>
      </c>
      <c r="D233" s="1" t="s">
        <v>851</v>
      </c>
      <c r="E233" s="1" t="s">
        <v>852</v>
      </c>
    </row>
    <row r="234" spans="1:5">
      <c r="A234" s="1" t="s">
        <v>1120</v>
      </c>
      <c r="B234" s="1" t="s">
        <v>853</v>
      </c>
      <c r="C234" s="1" t="s">
        <v>838</v>
      </c>
      <c r="D234" s="1" t="s">
        <v>854</v>
      </c>
      <c r="E234" s="1" t="s">
        <v>855</v>
      </c>
    </row>
    <row r="235" spans="1:5">
      <c r="A235" s="1" t="s">
        <v>1120</v>
      </c>
      <c r="B235" s="1" t="s">
        <v>856</v>
      </c>
      <c r="C235" s="1" t="s">
        <v>857</v>
      </c>
      <c r="D235" s="1" t="s">
        <v>858</v>
      </c>
      <c r="E235" s="1" t="s">
        <v>859</v>
      </c>
    </row>
    <row r="236" spans="1:5">
      <c r="A236" s="1" t="s">
        <v>1120</v>
      </c>
      <c r="B236" s="1" t="s">
        <v>860</v>
      </c>
      <c r="C236" s="1" t="s">
        <v>857</v>
      </c>
      <c r="D236" s="1" t="s">
        <v>861</v>
      </c>
      <c r="E236" s="1" t="s">
        <v>862</v>
      </c>
    </row>
    <row r="237" spans="1:5">
      <c r="A237" s="1" t="s">
        <v>1120</v>
      </c>
      <c r="B237" s="1" t="s">
        <v>863</v>
      </c>
      <c r="C237" s="1" t="s">
        <v>864</v>
      </c>
      <c r="D237" s="1" t="s">
        <v>865</v>
      </c>
      <c r="E237" s="1" t="s">
        <v>866</v>
      </c>
    </row>
    <row r="238" spans="1:5">
      <c r="A238" s="1" t="s">
        <v>1120</v>
      </c>
      <c r="B238" s="1" t="s">
        <v>867</v>
      </c>
      <c r="C238" s="1" t="s">
        <v>868</v>
      </c>
      <c r="D238" s="1" t="s">
        <v>869</v>
      </c>
      <c r="E238" s="1" t="s">
        <v>870</v>
      </c>
    </row>
    <row r="239" spans="1:5">
      <c r="A239" s="1" t="s">
        <v>1120</v>
      </c>
      <c r="B239" s="1" t="s">
        <v>871</v>
      </c>
      <c r="C239" s="1" t="s">
        <v>872</v>
      </c>
      <c r="D239" s="1" t="s">
        <v>873</v>
      </c>
      <c r="E239" s="1" t="s">
        <v>874</v>
      </c>
    </row>
    <row r="240" spans="1:5">
      <c r="A240" s="1" t="s">
        <v>1120</v>
      </c>
      <c r="B240" s="1" t="s">
        <v>875</v>
      </c>
      <c r="C240" s="1" t="s">
        <v>876</v>
      </c>
      <c r="D240" s="1" t="s">
        <v>877</v>
      </c>
      <c r="E240" s="1" t="s">
        <v>878</v>
      </c>
    </row>
    <row r="241" spans="1:5">
      <c r="A241" s="1" t="s">
        <v>1120</v>
      </c>
      <c r="B241" s="1" t="s">
        <v>879</v>
      </c>
      <c r="C241" s="1" t="s">
        <v>876</v>
      </c>
      <c r="D241" s="1" t="s">
        <v>880</v>
      </c>
      <c r="E241" s="1" t="s">
        <v>881</v>
      </c>
    </row>
    <row r="242" spans="1:5">
      <c r="A242" s="1" t="s">
        <v>1120</v>
      </c>
      <c r="B242" s="1" t="s">
        <v>882</v>
      </c>
      <c r="C242" s="1" t="s">
        <v>876</v>
      </c>
      <c r="D242" s="1" t="s">
        <v>883</v>
      </c>
      <c r="E242" s="1" t="s">
        <v>884</v>
      </c>
    </row>
    <row r="243" spans="1:5">
      <c r="A243" s="1" t="s">
        <v>1120</v>
      </c>
      <c r="B243" s="1" t="s">
        <v>885</v>
      </c>
      <c r="C243" s="1" t="s">
        <v>886</v>
      </c>
      <c r="D243" s="1" t="s">
        <v>887</v>
      </c>
      <c r="E243" s="1" t="s">
        <v>888</v>
      </c>
    </row>
    <row r="244" spans="1:5">
      <c r="A244" s="1" t="s">
        <v>1120</v>
      </c>
      <c r="B244" s="1" t="s">
        <v>889</v>
      </c>
      <c r="C244" s="1" t="s">
        <v>890</v>
      </c>
      <c r="D244" s="1" t="s">
        <v>891</v>
      </c>
      <c r="E244" s="1" t="s">
        <v>892</v>
      </c>
    </row>
    <row r="245" spans="1:5">
      <c r="A245" s="1" t="s">
        <v>1120</v>
      </c>
      <c r="B245" s="1" t="s">
        <v>893</v>
      </c>
      <c r="C245" s="1" t="s">
        <v>894</v>
      </c>
      <c r="D245" s="1" t="s">
        <v>895</v>
      </c>
      <c r="E245" s="1" t="s">
        <v>896</v>
      </c>
    </row>
    <row r="246" spans="1:5">
      <c r="A246" s="1" t="s">
        <v>1120</v>
      </c>
      <c r="B246" s="1" t="s">
        <v>897</v>
      </c>
      <c r="C246" s="1" t="s">
        <v>894</v>
      </c>
      <c r="D246" s="1" t="s">
        <v>898</v>
      </c>
      <c r="E246" s="1" t="s">
        <v>899</v>
      </c>
    </row>
    <row r="247" spans="1:5">
      <c r="A247" s="1" t="s">
        <v>1120</v>
      </c>
      <c r="B247" s="1" t="s">
        <v>900</v>
      </c>
      <c r="C247" s="1" t="s">
        <v>901</v>
      </c>
      <c r="D247" s="1" t="s">
        <v>9</v>
      </c>
      <c r="E247" s="1" t="s">
        <v>9</v>
      </c>
    </row>
    <row r="248" spans="1:5">
      <c r="A248" s="1" t="s">
        <v>1120</v>
      </c>
      <c r="B248" s="1" t="s">
        <v>902</v>
      </c>
      <c r="C248" s="1" t="s">
        <v>903</v>
      </c>
      <c r="D248" s="1" t="s">
        <v>904</v>
      </c>
      <c r="E248" s="1" t="s">
        <v>905</v>
      </c>
    </row>
    <row r="249" spans="1:5">
      <c r="A249" s="1" t="s">
        <v>1120</v>
      </c>
      <c r="B249" s="1" t="s">
        <v>906</v>
      </c>
      <c r="C249" s="1" t="s">
        <v>907</v>
      </c>
      <c r="D249" s="1" t="s">
        <v>908</v>
      </c>
      <c r="E249" s="1" t="s">
        <v>9</v>
      </c>
    </row>
    <row r="250" spans="1:5">
      <c r="A250" s="1" t="s">
        <v>1120</v>
      </c>
      <c r="B250" s="1" t="s">
        <v>909</v>
      </c>
      <c r="C250" s="1" t="s">
        <v>910</v>
      </c>
      <c r="D250" s="1" t="s">
        <v>911</v>
      </c>
      <c r="E250" s="1" t="s">
        <v>912</v>
      </c>
    </row>
    <row r="251" spans="1:5">
      <c r="A251" s="1" t="s">
        <v>1120</v>
      </c>
      <c r="B251" s="1" t="s">
        <v>913</v>
      </c>
      <c r="C251" s="1" t="s">
        <v>914</v>
      </c>
      <c r="D251" s="1" t="s">
        <v>915</v>
      </c>
      <c r="E251" s="1" t="s">
        <v>916</v>
      </c>
    </row>
    <row r="252" spans="1:5">
      <c r="A252" s="1" t="s">
        <v>1120</v>
      </c>
      <c r="B252" s="1" t="s">
        <v>917</v>
      </c>
      <c r="C252" s="1" t="s">
        <v>914</v>
      </c>
      <c r="D252" s="1" t="s">
        <v>9</v>
      </c>
      <c r="E252" s="1" t="s">
        <v>9</v>
      </c>
    </row>
    <row r="253" spans="1:5">
      <c r="A253" s="1" t="s">
        <v>1120</v>
      </c>
      <c r="B253" s="1" t="s">
        <v>918</v>
      </c>
      <c r="C253" s="1" t="s">
        <v>919</v>
      </c>
      <c r="D253" s="1" t="s">
        <v>920</v>
      </c>
      <c r="E253" s="1" t="s">
        <v>921</v>
      </c>
    </row>
    <row r="254" spans="1:5">
      <c r="A254" s="1" t="s">
        <v>1120</v>
      </c>
      <c r="B254" s="1" t="s">
        <v>922</v>
      </c>
      <c r="C254" s="1" t="s">
        <v>923</v>
      </c>
      <c r="D254" s="1" t="s">
        <v>924</v>
      </c>
      <c r="E254" s="1" t="s">
        <v>9</v>
      </c>
    </row>
    <row r="255" spans="1:5">
      <c r="A255" s="1" t="s">
        <v>1120</v>
      </c>
      <c r="B255" s="1" t="s">
        <v>925</v>
      </c>
      <c r="C255" s="1" t="s">
        <v>927</v>
      </c>
      <c r="D255" s="1" t="s">
        <v>928</v>
      </c>
      <c r="E255" s="1" t="s">
        <v>926</v>
      </c>
    </row>
    <row r="256" spans="1:5">
      <c r="A256" s="1" t="s">
        <v>1120</v>
      </c>
      <c r="B256" s="1" t="s">
        <v>929</v>
      </c>
      <c r="C256" s="1" t="s">
        <v>930</v>
      </c>
      <c r="D256" s="1" t="s">
        <v>931</v>
      </c>
      <c r="E256" s="1" t="s">
        <v>932</v>
      </c>
    </row>
    <row r="257" spans="1:5">
      <c r="A257" s="1" t="s">
        <v>1120</v>
      </c>
      <c r="B257" s="1" t="s">
        <v>933</v>
      </c>
      <c r="C257" s="1" t="s">
        <v>934</v>
      </c>
      <c r="D257" s="1" t="s">
        <v>935</v>
      </c>
      <c r="E257" s="1" t="s">
        <v>936</v>
      </c>
    </row>
    <row r="258" spans="1:5">
      <c r="A258" s="1" t="s">
        <v>1120</v>
      </c>
      <c r="B258" s="1" t="s">
        <v>937</v>
      </c>
      <c r="C258" s="1" t="s">
        <v>939</v>
      </c>
      <c r="D258" s="1" t="s">
        <v>940</v>
      </c>
      <c r="E258" s="1" t="s">
        <v>938</v>
      </c>
    </row>
    <row r="259" spans="1:5">
      <c r="A259" s="1" t="s">
        <v>1120</v>
      </c>
      <c r="B259" s="1" t="s">
        <v>941</v>
      </c>
      <c r="C259" s="1" t="s">
        <v>942</v>
      </c>
      <c r="D259" s="1" t="s">
        <v>943</v>
      </c>
      <c r="E259" s="1" t="s">
        <v>944</v>
      </c>
    </row>
    <row r="260" spans="1:5">
      <c r="A260" s="1" t="s">
        <v>1120</v>
      </c>
      <c r="B260" s="1" t="s">
        <v>945</v>
      </c>
      <c r="C260" s="1" t="s">
        <v>946</v>
      </c>
      <c r="D260" s="1" t="s">
        <v>947</v>
      </c>
      <c r="E260" s="1" t="s">
        <v>948</v>
      </c>
    </row>
    <row r="261" spans="1:5">
      <c r="A261" s="1" t="s">
        <v>1120</v>
      </c>
      <c r="B261" s="1" t="s">
        <v>949</v>
      </c>
      <c r="C261" s="1" t="s">
        <v>946</v>
      </c>
      <c r="D261" s="1" t="s">
        <v>950</v>
      </c>
      <c r="E261" s="1" t="s">
        <v>951</v>
      </c>
    </row>
    <row r="262" spans="1:5">
      <c r="A262" s="1" t="s">
        <v>1120</v>
      </c>
      <c r="B262" s="1" t="s">
        <v>952</v>
      </c>
      <c r="C262" s="1" t="s">
        <v>953</v>
      </c>
      <c r="D262" s="1" t="s">
        <v>954</v>
      </c>
      <c r="E262" s="1" t="s">
        <v>955</v>
      </c>
    </row>
    <row r="263" spans="1:5">
      <c r="A263" s="1" t="s">
        <v>1120</v>
      </c>
      <c r="B263" s="1" t="s">
        <v>956</v>
      </c>
      <c r="C263" s="1" t="s">
        <v>957</v>
      </c>
      <c r="D263" s="1" t="s">
        <v>958</v>
      </c>
      <c r="E263" s="1" t="s">
        <v>959</v>
      </c>
    </row>
    <row r="264" spans="1:5">
      <c r="A264" s="1" t="s">
        <v>1120</v>
      </c>
      <c r="B264" s="1" t="s">
        <v>960</v>
      </c>
      <c r="C264" s="1" t="s">
        <v>957</v>
      </c>
      <c r="D264" s="1" t="s">
        <v>961</v>
      </c>
      <c r="E264" s="1" t="s">
        <v>962</v>
      </c>
    </row>
    <row r="265" spans="1:5">
      <c r="A265" s="1" t="s">
        <v>1120</v>
      </c>
      <c r="B265" s="1" t="s">
        <v>963</v>
      </c>
      <c r="C265" s="1" t="s">
        <v>964</v>
      </c>
      <c r="D265" s="1" t="s">
        <v>965</v>
      </c>
      <c r="E265" s="1" t="s">
        <v>966</v>
      </c>
    </row>
    <row r="266" spans="1:5">
      <c r="A266" s="1" t="s">
        <v>1120</v>
      </c>
      <c r="B266" s="1" t="s">
        <v>967</v>
      </c>
      <c r="C266" s="1" t="s">
        <v>968</v>
      </c>
      <c r="D266" s="1" t="s">
        <v>969</v>
      </c>
      <c r="E266" s="1" t="s">
        <v>970</v>
      </c>
    </row>
    <row r="267" spans="1:5">
      <c r="A267" s="1" t="s">
        <v>1120</v>
      </c>
      <c r="B267" s="1" t="s">
        <v>971</v>
      </c>
      <c r="C267" s="1" t="s">
        <v>972</v>
      </c>
      <c r="D267" s="1" t="s">
        <v>973</v>
      </c>
      <c r="E267" s="1" t="s">
        <v>974</v>
      </c>
    </row>
    <row r="268" spans="1:5">
      <c r="A268" s="1" t="s">
        <v>1120</v>
      </c>
      <c r="B268" s="1" t="s">
        <v>975</v>
      </c>
      <c r="C268" s="1" t="s">
        <v>972</v>
      </c>
      <c r="D268" s="1" t="s">
        <v>976</v>
      </c>
      <c r="E268" s="1" t="s">
        <v>977</v>
      </c>
    </row>
    <row r="269" spans="1:5">
      <c r="A269" s="1" t="s">
        <v>1120</v>
      </c>
      <c r="B269" s="1" t="s">
        <v>978</v>
      </c>
      <c r="C269" s="1" t="s">
        <v>979</v>
      </c>
      <c r="D269" s="1" t="s">
        <v>980</v>
      </c>
      <c r="E269" s="1" t="s">
        <v>981</v>
      </c>
    </row>
    <row r="270" spans="1:5">
      <c r="A270" s="1" t="s">
        <v>1120</v>
      </c>
      <c r="B270" s="1" t="s">
        <v>982</v>
      </c>
      <c r="C270" s="1" t="s">
        <v>979</v>
      </c>
      <c r="D270" s="1" t="s">
        <v>983</v>
      </c>
      <c r="E270" s="1" t="s">
        <v>984</v>
      </c>
    </row>
    <row r="271" spans="1:5">
      <c r="A271" s="1" t="s">
        <v>1120</v>
      </c>
      <c r="B271" s="1" t="s">
        <v>985</v>
      </c>
      <c r="C271" s="1" t="s">
        <v>986</v>
      </c>
      <c r="D271" s="1" t="s">
        <v>987</v>
      </c>
      <c r="E271" s="1" t="s">
        <v>988</v>
      </c>
    </row>
    <row r="272" spans="1:5">
      <c r="A272" s="1" t="s">
        <v>1120</v>
      </c>
      <c r="B272" s="1" t="s">
        <v>989</v>
      </c>
      <c r="C272" s="1" t="s">
        <v>990</v>
      </c>
      <c r="D272" s="1" t="s">
        <v>991</v>
      </c>
      <c r="E272" s="1" t="s">
        <v>992</v>
      </c>
    </row>
    <row r="273" spans="1:5">
      <c r="A273" s="1" t="s">
        <v>1120</v>
      </c>
      <c r="B273" s="1" t="s">
        <v>993</v>
      </c>
      <c r="C273" s="1" t="s">
        <v>994</v>
      </c>
      <c r="D273" s="1" t="s">
        <v>995</v>
      </c>
      <c r="E273" s="1" t="s">
        <v>996</v>
      </c>
    </row>
    <row r="274" spans="1:5">
      <c r="A274" s="1" t="s">
        <v>1120</v>
      </c>
      <c r="B274" s="1" t="s">
        <v>997</v>
      </c>
      <c r="C274" s="1" t="s">
        <v>994</v>
      </c>
      <c r="D274" s="1" t="s">
        <v>998</v>
      </c>
      <c r="E274" s="1" t="s">
        <v>999</v>
      </c>
    </row>
    <row r="275" spans="1:5">
      <c r="A275" s="1" t="s">
        <v>1120</v>
      </c>
      <c r="B275" s="1" t="s">
        <v>1000</v>
      </c>
      <c r="C275" s="1" t="s">
        <v>1001</v>
      </c>
      <c r="D275" s="1" t="s">
        <v>1002</v>
      </c>
      <c r="E275" s="1" t="s">
        <v>1003</v>
      </c>
    </row>
    <row r="276" spans="1:5">
      <c r="A276" s="1" t="s">
        <v>1120</v>
      </c>
      <c r="B276" s="1" t="s">
        <v>1004</v>
      </c>
      <c r="C276" s="1" t="s">
        <v>1005</v>
      </c>
      <c r="D276" s="1" t="s">
        <v>1006</v>
      </c>
      <c r="E276" s="1" t="s">
        <v>1007</v>
      </c>
    </row>
    <row r="277" spans="1:5">
      <c r="A277" s="1" t="s">
        <v>1120</v>
      </c>
      <c r="B277" s="1" t="s">
        <v>1008</v>
      </c>
      <c r="C277" s="1" t="s">
        <v>1009</v>
      </c>
      <c r="D277" s="1" t="s">
        <v>1010</v>
      </c>
      <c r="E277" s="1" t="s">
        <v>1011</v>
      </c>
    </row>
    <row r="278" spans="1:5">
      <c r="A278" s="1" t="s">
        <v>1120</v>
      </c>
      <c r="B278" s="1" t="s">
        <v>1012</v>
      </c>
      <c r="C278" s="1" t="s">
        <v>1013</v>
      </c>
      <c r="D278" s="1" t="s">
        <v>1014</v>
      </c>
      <c r="E278" s="1" t="s">
        <v>1015</v>
      </c>
    </row>
    <row r="279" spans="1:5">
      <c r="A279" s="1" t="s">
        <v>1120</v>
      </c>
      <c r="B279" s="1" t="s">
        <v>1016</v>
      </c>
      <c r="C279" s="1" t="s">
        <v>1017</v>
      </c>
      <c r="D279" s="1" t="s">
        <v>1018</v>
      </c>
      <c r="E279" s="1" t="s">
        <v>1019</v>
      </c>
    </row>
    <row r="280" spans="1:5">
      <c r="A280" s="1" t="s">
        <v>1120</v>
      </c>
      <c r="B280" s="1" t="s">
        <v>1020</v>
      </c>
      <c r="C280" s="1" t="s">
        <v>1021</v>
      </c>
      <c r="D280" s="1" t="s">
        <v>1022</v>
      </c>
      <c r="E280" s="1" t="s">
        <v>1023</v>
      </c>
    </row>
    <row r="281" spans="1:5">
      <c r="A281" s="1" t="s">
        <v>1120</v>
      </c>
      <c r="B281" s="1" t="s">
        <v>1024</v>
      </c>
      <c r="C281" s="1" t="s">
        <v>1025</v>
      </c>
      <c r="D281" s="1" t="s">
        <v>1026</v>
      </c>
      <c r="E281" s="1" t="s">
        <v>1027</v>
      </c>
    </row>
    <row r="282" spans="1:5">
      <c r="A282" s="1" t="s">
        <v>1120</v>
      </c>
      <c r="B282" s="1" t="s">
        <v>1028</v>
      </c>
      <c r="C282" s="1" t="s">
        <v>1029</v>
      </c>
      <c r="D282" s="1" t="s">
        <v>1030</v>
      </c>
      <c r="E282" s="1" t="s">
        <v>1031</v>
      </c>
    </row>
    <row r="283" spans="1:5">
      <c r="A283" s="1" t="s">
        <v>1120</v>
      </c>
      <c r="B283" s="1" t="s">
        <v>1032</v>
      </c>
      <c r="C283" s="1" t="s">
        <v>1033</v>
      </c>
      <c r="D283" s="1" t="s">
        <v>1034</v>
      </c>
      <c r="E283" s="1" t="s">
        <v>1035</v>
      </c>
    </row>
    <row r="284" spans="1:5">
      <c r="A284" s="1" t="s">
        <v>1120</v>
      </c>
      <c r="B284" s="1" t="s">
        <v>1036</v>
      </c>
      <c r="C284" s="1" t="s">
        <v>1037</v>
      </c>
      <c r="D284" s="1" t="s">
        <v>1038</v>
      </c>
      <c r="E284" s="1" t="s">
        <v>1039</v>
      </c>
    </row>
    <row r="285" spans="1:5">
      <c r="A285" s="1" t="s">
        <v>1120</v>
      </c>
      <c r="B285" s="1" t="s">
        <v>1040</v>
      </c>
      <c r="C285" s="1" t="s">
        <v>1041</v>
      </c>
      <c r="D285" s="1" t="s">
        <v>1042</v>
      </c>
      <c r="E285" s="1" t="s">
        <v>1043</v>
      </c>
    </row>
    <row r="286" spans="1:5">
      <c r="A286" s="1" t="s">
        <v>1120</v>
      </c>
      <c r="B286" s="1" t="s">
        <v>1044</v>
      </c>
      <c r="C286" s="1" t="s">
        <v>1041</v>
      </c>
      <c r="D286" s="1" t="s">
        <v>1045</v>
      </c>
      <c r="E286" s="1" t="s">
        <v>1046</v>
      </c>
    </row>
    <row r="287" spans="1:5">
      <c r="A287" s="1" t="s">
        <v>1120</v>
      </c>
      <c r="B287" s="1" t="s">
        <v>1047</v>
      </c>
      <c r="C287" s="1" t="s">
        <v>1048</v>
      </c>
      <c r="D287" s="1" t="s">
        <v>1049</v>
      </c>
      <c r="E287" s="1" t="s">
        <v>1050</v>
      </c>
    </row>
    <row r="288" spans="1:5">
      <c r="A288" s="1" t="s">
        <v>1120</v>
      </c>
      <c r="B288" s="1" t="s">
        <v>1051</v>
      </c>
      <c r="C288" s="1" t="s">
        <v>1048</v>
      </c>
      <c r="D288" s="1" t="s">
        <v>1052</v>
      </c>
      <c r="E288" s="1" t="s">
        <v>1053</v>
      </c>
    </row>
    <row r="289" spans="1:5">
      <c r="A289" s="1" t="s">
        <v>1120</v>
      </c>
      <c r="B289" s="1" t="s">
        <v>1054</v>
      </c>
      <c r="C289" s="1" t="s">
        <v>1055</v>
      </c>
      <c r="D289" s="1" t="s">
        <v>1056</v>
      </c>
      <c r="E289" s="1" t="s">
        <v>1057</v>
      </c>
    </row>
    <row r="290" spans="1:5">
      <c r="A290" s="1" t="s">
        <v>1120</v>
      </c>
      <c r="B290" s="1" t="s">
        <v>1058</v>
      </c>
      <c r="C290" s="1" t="s">
        <v>1059</v>
      </c>
      <c r="D290" s="1" t="s">
        <v>1060</v>
      </c>
      <c r="E290" s="1" t="s">
        <v>1061</v>
      </c>
    </row>
    <row r="291" spans="1:5">
      <c r="A291" s="1" t="s">
        <v>1120</v>
      </c>
      <c r="B291" s="1" t="s">
        <v>1062</v>
      </c>
      <c r="C291" s="1" t="s">
        <v>1059</v>
      </c>
      <c r="D291" s="1" t="s">
        <v>1063</v>
      </c>
      <c r="E291" s="1" t="s">
        <v>1064</v>
      </c>
    </row>
    <row r="292" spans="1:5">
      <c r="A292" s="1" t="s">
        <v>1120</v>
      </c>
      <c r="B292" s="1" t="s">
        <v>1065</v>
      </c>
      <c r="C292" s="1" t="s">
        <v>1066</v>
      </c>
      <c r="D292" s="1" t="s">
        <v>1067</v>
      </c>
      <c r="E292" s="1" t="s">
        <v>1068</v>
      </c>
    </row>
    <row r="293" spans="1:5">
      <c r="A293" s="1" t="s">
        <v>1120</v>
      </c>
      <c r="B293" s="1" t="s">
        <v>1069</v>
      </c>
      <c r="C293" s="1" t="s">
        <v>1070</v>
      </c>
      <c r="D293" s="1" t="s">
        <v>1071</v>
      </c>
      <c r="E293" s="1" t="s">
        <v>1072</v>
      </c>
    </row>
    <row r="294" spans="1:5">
      <c r="A294" s="1" t="s">
        <v>1120</v>
      </c>
      <c r="B294" s="1" t="s">
        <v>1073</v>
      </c>
      <c r="C294" s="1" t="s">
        <v>1075</v>
      </c>
      <c r="D294" s="1" t="s">
        <v>1076</v>
      </c>
      <c r="E294" s="1" t="s">
        <v>1077</v>
      </c>
    </row>
    <row r="295" spans="1:5">
      <c r="A295" s="1" t="s">
        <v>1120</v>
      </c>
      <c r="B295" s="1" t="s">
        <v>1078</v>
      </c>
      <c r="C295" s="1" t="s">
        <v>1079</v>
      </c>
      <c r="D295" s="1" t="s">
        <v>1080</v>
      </c>
      <c r="E295" s="1" t="s">
        <v>1081</v>
      </c>
    </row>
    <row r="296" spans="1:5">
      <c r="A296" s="1" t="s">
        <v>1120</v>
      </c>
      <c r="B296" s="1" t="s">
        <v>1082</v>
      </c>
      <c r="C296" s="1" t="s">
        <v>1083</v>
      </c>
      <c r="D296" s="1" t="s">
        <v>1084</v>
      </c>
      <c r="E296" s="1" t="s">
        <v>1085</v>
      </c>
    </row>
    <row r="297" spans="1:5">
      <c r="A297" s="1" t="s">
        <v>1120</v>
      </c>
      <c r="B297" s="1" t="s">
        <v>1086</v>
      </c>
      <c r="C297" s="1" t="s">
        <v>1074</v>
      </c>
      <c r="D297" s="1" t="s">
        <v>1087</v>
      </c>
      <c r="E297" s="1" t="s">
        <v>1088</v>
      </c>
    </row>
    <row r="298" spans="1:5">
      <c r="A298" s="1" t="s">
        <v>1120</v>
      </c>
      <c r="B298" s="1" t="s">
        <v>1089</v>
      </c>
      <c r="C298" s="1" t="s">
        <v>1074</v>
      </c>
      <c r="D298" s="1" t="s">
        <v>1090</v>
      </c>
      <c r="E298" s="1" t="s">
        <v>1091</v>
      </c>
    </row>
    <row r="299" spans="1:5">
      <c r="A299" s="1" t="s">
        <v>1120</v>
      </c>
      <c r="B299" s="1" t="s">
        <v>1092</v>
      </c>
      <c r="C299" s="1" t="s">
        <v>1074</v>
      </c>
      <c r="D299" s="1" t="s">
        <v>1093</v>
      </c>
      <c r="E299" s="1" t="s">
        <v>1094</v>
      </c>
    </row>
    <row r="300" spans="1:5">
      <c r="A300" s="1" t="s">
        <v>1120</v>
      </c>
      <c r="B300" s="1" t="s">
        <v>1095</v>
      </c>
      <c r="C300" s="1" t="s">
        <v>1096</v>
      </c>
      <c r="D300" s="1" t="s">
        <v>1097</v>
      </c>
      <c r="E300" s="1" t="s">
        <v>1098</v>
      </c>
    </row>
    <row r="301" spans="1:5">
      <c r="A301" s="1" t="s">
        <v>1120</v>
      </c>
      <c r="B301" s="1" t="s">
        <v>1099</v>
      </c>
      <c r="C301" s="1" t="s">
        <v>1096</v>
      </c>
      <c r="D301" s="1" t="s">
        <v>1100</v>
      </c>
      <c r="E301" s="1" t="s">
        <v>1101</v>
      </c>
    </row>
    <row r="302" spans="1:5">
      <c r="A302" s="1" t="s">
        <v>1120</v>
      </c>
      <c r="B302" s="1" t="s">
        <v>1102</v>
      </c>
      <c r="C302" s="1" t="s">
        <v>1096</v>
      </c>
      <c r="D302" s="1" t="s">
        <v>1103</v>
      </c>
      <c r="E302" s="1" t="s">
        <v>1104</v>
      </c>
    </row>
    <row r="303" spans="1:5">
      <c r="A303" s="1" t="s">
        <v>1120</v>
      </c>
      <c r="B303" s="1" t="s">
        <v>1105</v>
      </c>
      <c r="C303" s="1" t="s">
        <v>1106</v>
      </c>
      <c r="D303" s="1" t="s">
        <v>1107</v>
      </c>
      <c r="E303" s="1" t="s">
        <v>1108</v>
      </c>
    </row>
    <row r="304" spans="1:5">
      <c r="A304" s="1" t="s">
        <v>1120</v>
      </c>
      <c r="B304" s="1" t="s">
        <v>1109</v>
      </c>
      <c r="C304" s="1" t="s">
        <v>1110</v>
      </c>
      <c r="D304" s="1" t="s">
        <v>1111</v>
      </c>
      <c r="E304" s="1" t="s">
        <v>9</v>
      </c>
    </row>
    <row r="305" spans="1:5">
      <c r="A305" s="1" t="s">
        <v>1120</v>
      </c>
      <c r="B305" s="1" t="s">
        <v>1112</v>
      </c>
      <c r="C305" s="1" t="s">
        <v>1113</v>
      </c>
      <c r="D305" s="1" t="s">
        <v>1114</v>
      </c>
      <c r="E305" s="1" t="s">
        <v>1115</v>
      </c>
    </row>
    <row r="306" spans="1:5">
      <c r="A306" s="1" t="s">
        <v>1120</v>
      </c>
      <c r="B306" s="1" t="s">
        <v>1116</v>
      </c>
      <c r="C306" s="1" t="s">
        <v>1117</v>
      </c>
      <c r="D306" s="1" t="s">
        <v>1118</v>
      </c>
      <c r="E306" s="1" t="s">
        <v>1119</v>
      </c>
    </row>
    <row r="307" spans="1:5">
      <c r="A307" s="1" t="s">
        <v>1276</v>
      </c>
      <c r="B307" s="1" t="s">
        <v>1121</v>
      </c>
      <c r="D307" s="1" t="s">
        <v>1182</v>
      </c>
      <c r="E307" s="1" t="s">
        <v>1242</v>
      </c>
    </row>
    <row r="308" spans="1:5">
      <c r="A308" s="1" t="s">
        <v>1276</v>
      </c>
      <c r="B308" s="1" t="s">
        <v>1122</v>
      </c>
      <c r="D308" s="1" t="s">
        <v>1183</v>
      </c>
      <c r="E308" s="1" t="s">
        <v>1243</v>
      </c>
    </row>
    <row r="309" spans="1:5">
      <c r="A309" s="1" t="s">
        <v>1276</v>
      </c>
      <c r="B309" s="1" t="s">
        <v>1123</v>
      </c>
      <c r="D309" s="1" t="s">
        <v>1184</v>
      </c>
      <c r="E309" s="1">
        <v>33564229</v>
      </c>
    </row>
    <row r="310" spans="1:5">
      <c r="A310" s="1" t="s">
        <v>1276</v>
      </c>
      <c r="B310" s="1" t="s">
        <v>1124</v>
      </c>
      <c r="D310" s="1" t="s">
        <v>1185</v>
      </c>
      <c r="E310" s="1" t="s">
        <v>1244</v>
      </c>
    </row>
    <row r="311" spans="1:5">
      <c r="A311" s="1" t="s">
        <v>1276</v>
      </c>
      <c r="B311" s="1" t="s">
        <v>1125</v>
      </c>
      <c r="D311" s="1" t="s">
        <v>1186</v>
      </c>
      <c r="E311" s="1" t="s">
        <v>1245</v>
      </c>
    </row>
    <row r="312" spans="1:5">
      <c r="A312" s="1" t="s">
        <v>1276</v>
      </c>
      <c r="B312" s="1" t="s">
        <v>1126</v>
      </c>
      <c r="D312" s="1" t="s">
        <v>1187</v>
      </c>
      <c r="E312" s="1">
        <v>33120058</v>
      </c>
    </row>
    <row r="313" spans="1:5">
      <c r="A313" s="1" t="s">
        <v>1276</v>
      </c>
      <c r="B313" s="1" t="s">
        <v>1127</v>
      </c>
      <c r="D313" s="1" t="s">
        <v>1188</v>
      </c>
      <c r="E313" s="1" t="s">
        <v>1246</v>
      </c>
    </row>
    <row r="314" spans="1:5">
      <c r="A314" s="1" t="s">
        <v>1276</v>
      </c>
      <c r="B314" s="1" t="s">
        <v>1128</v>
      </c>
      <c r="D314" s="1" t="s">
        <v>1189</v>
      </c>
      <c r="E314" s="1" t="s">
        <v>1247</v>
      </c>
    </row>
    <row r="315" spans="1:5">
      <c r="A315" s="1" t="s">
        <v>1276</v>
      </c>
      <c r="B315" s="1" t="s">
        <v>1129</v>
      </c>
      <c r="D315" s="1" t="s">
        <v>1190</v>
      </c>
      <c r="E315" s="1" t="s">
        <v>1248</v>
      </c>
    </row>
    <row r="316" spans="1:5">
      <c r="A316" s="1" t="s">
        <v>1276</v>
      </c>
      <c r="B316" s="1" t="s">
        <v>1130</v>
      </c>
      <c r="D316" s="1" t="s">
        <v>1191</v>
      </c>
      <c r="E316" s="1">
        <v>2636574451</v>
      </c>
    </row>
    <row r="317" spans="1:5">
      <c r="A317" s="1" t="s">
        <v>1276</v>
      </c>
      <c r="B317" s="1" t="s">
        <v>1131</v>
      </c>
      <c r="D317" s="1" t="s">
        <v>1192</v>
      </c>
      <c r="E317" s="1" t="s">
        <v>1249</v>
      </c>
    </row>
    <row r="318" spans="1:5">
      <c r="A318" s="1" t="s">
        <v>1276</v>
      </c>
      <c r="B318" s="1" t="s">
        <v>1132</v>
      </c>
      <c r="D318" s="1" t="s">
        <v>1193</v>
      </c>
      <c r="E318" s="1" t="s">
        <v>1250</v>
      </c>
    </row>
    <row r="319" spans="1:5">
      <c r="A319" s="1" t="s">
        <v>1276</v>
      </c>
      <c r="B319" s="1" t="s">
        <v>1133</v>
      </c>
      <c r="D319" s="1" t="s">
        <v>1194</v>
      </c>
      <c r="E319" s="1" t="s">
        <v>1251</v>
      </c>
    </row>
    <row r="320" spans="1:5">
      <c r="A320" s="1" t="s">
        <v>1276</v>
      </c>
      <c r="B320" s="1" t="s">
        <v>1134</v>
      </c>
      <c r="D320" s="1" t="s">
        <v>1195</v>
      </c>
      <c r="E320" s="1" t="s">
        <v>1252</v>
      </c>
    </row>
    <row r="321" spans="1:5">
      <c r="A321" s="1" t="s">
        <v>1276</v>
      </c>
      <c r="B321" s="1" t="s">
        <v>1135</v>
      </c>
      <c r="D321" s="1" t="s">
        <v>1196</v>
      </c>
      <c r="E321" s="1" t="s">
        <v>1253</v>
      </c>
    </row>
    <row r="322" spans="1:5">
      <c r="A322" s="1" t="s">
        <v>1276</v>
      </c>
      <c r="B322" s="1" t="s">
        <v>1136</v>
      </c>
      <c r="D322" s="1" t="s">
        <v>1197</v>
      </c>
      <c r="E322" s="1" t="s">
        <v>1254</v>
      </c>
    </row>
    <row r="323" spans="1:5">
      <c r="A323" s="1" t="s">
        <v>1276</v>
      </c>
      <c r="B323" s="1" t="s">
        <v>1137</v>
      </c>
      <c r="D323" s="1" t="s">
        <v>1198</v>
      </c>
      <c r="E323" s="1" t="s">
        <v>1255</v>
      </c>
    </row>
    <row r="324" spans="1:5">
      <c r="A324" s="1" t="s">
        <v>1276</v>
      </c>
      <c r="B324" s="1" t="s">
        <v>1138</v>
      </c>
      <c r="D324" s="1" t="s">
        <v>1199</v>
      </c>
      <c r="E324" s="1" t="s">
        <v>1256</v>
      </c>
    </row>
    <row r="325" spans="1:5">
      <c r="A325" s="1" t="s">
        <v>1276</v>
      </c>
      <c r="B325" s="1" t="s">
        <v>1139</v>
      </c>
      <c r="D325" s="1" t="s">
        <v>1200</v>
      </c>
      <c r="E325" s="1" t="s">
        <v>1257</v>
      </c>
    </row>
    <row r="326" spans="1:5">
      <c r="A326" s="1" t="s">
        <v>1276</v>
      </c>
      <c r="B326" s="1" t="s">
        <v>1140</v>
      </c>
      <c r="D326" s="1" t="s">
        <v>1201</v>
      </c>
      <c r="E326" s="1" t="s">
        <v>1258</v>
      </c>
    </row>
    <row r="327" spans="1:5">
      <c r="A327" s="1" t="s">
        <v>1276</v>
      </c>
      <c r="B327" s="1" t="s">
        <v>1141</v>
      </c>
      <c r="D327" s="1" t="s">
        <v>1202</v>
      </c>
      <c r="E327" s="1" t="s">
        <v>1259</v>
      </c>
    </row>
    <row r="328" spans="1:5">
      <c r="A328" s="1" t="s">
        <v>1276</v>
      </c>
      <c r="B328" s="1" t="s">
        <v>1142</v>
      </c>
      <c r="D328" s="1" t="s">
        <v>1203</v>
      </c>
      <c r="E328" s="1" t="s">
        <v>1260</v>
      </c>
    </row>
    <row r="329" spans="1:5">
      <c r="A329" s="1" t="s">
        <v>1276</v>
      </c>
      <c r="B329" s="1" t="s">
        <v>1143</v>
      </c>
      <c r="D329" s="1" t="s">
        <v>1204</v>
      </c>
      <c r="E329" s="1" t="s">
        <v>1261</v>
      </c>
    </row>
    <row r="330" spans="1:5">
      <c r="A330" s="1" t="s">
        <v>1276</v>
      </c>
      <c r="B330" s="1" t="s">
        <v>1144</v>
      </c>
      <c r="D330" s="1" t="s">
        <v>1205</v>
      </c>
      <c r="E330" s="1" t="s">
        <v>1262</v>
      </c>
    </row>
    <row r="331" spans="1:5">
      <c r="A331" s="1" t="s">
        <v>1276</v>
      </c>
      <c r="B331" s="1" t="s">
        <v>1145</v>
      </c>
      <c r="D331" s="1" t="s">
        <v>1206</v>
      </c>
      <c r="E331" s="1" t="s">
        <v>1263</v>
      </c>
    </row>
    <row r="332" spans="1:5">
      <c r="A332" s="1" t="s">
        <v>1276</v>
      </c>
      <c r="B332" s="1" t="s">
        <v>1146</v>
      </c>
      <c r="D332" s="1" t="s">
        <v>1207</v>
      </c>
      <c r="E332" s="1" t="s">
        <v>1264</v>
      </c>
    </row>
    <row r="333" spans="1:5">
      <c r="A333" s="1" t="s">
        <v>1276</v>
      </c>
      <c r="B333" s="1" t="s">
        <v>1147</v>
      </c>
      <c r="D333" s="1" t="s">
        <v>1208</v>
      </c>
      <c r="E333" s="1" t="s">
        <v>1265</v>
      </c>
    </row>
    <row r="334" spans="1:5">
      <c r="A334" s="1" t="s">
        <v>1276</v>
      </c>
      <c r="B334" s="1" t="s">
        <v>1148</v>
      </c>
      <c r="D334" s="1" t="s">
        <v>1209</v>
      </c>
      <c r="E334" s="1" t="s">
        <v>1266</v>
      </c>
    </row>
    <row r="335" spans="1:5">
      <c r="A335" s="1" t="s">
        <v>1276</v>
      </c>
      <c r="B335" s="1" t="s">
        <v>1149</v>
      </c>
    </row>
    <row r="336" spans="1:5">
      <c r="A336" s="1" t="s">
        <v>1276</v>
      </c>
      <c r="B336" s="1" t="s">
        <v>1150</v>
      </c>
      <c r="D336" s="1" t="s">
        <v>1210</v>
      </c>
      <c r="E336" s="1">
        <v>22542402</v>
      </c>
    </row>
    <row r="337" spans="1:5">
      <c r="A337" s="1" t="s">
        <v>1276</v>
      </c>
      <c r="B337" s="1" t="s">
        <v>1151</v>
      </c>
      <c r="D337" s="1" t="s">
        <v>1211</v>
      </c>
      <c r="E337" s="1" t="s">
        <v>1267</v>
      </c>
    </row>
    <row r="338" spans="1:5">
      <c r="A338" s="1" t="s">
        <v>1276</v>
      </c>
      <c r="B338" s="1" t="s">
        <v>1152</v>
      </c>
      <c r="D338" s="1" t="s">
        <v>1212</v>
      </c>
      <c r="E338" s="1" t="s">
        <v>1268</v>
      </c>
    </row>
    <row r="339" spans="1:5">
      <c r="A339" s="1" t="s">
        <v>1276</v>
      </c>
      <c r="B339" s="1" t="s">
        <v>1153</v>
      </c>
      <c r="D339" s="1" t="s">
        <v>1213</v>
      </c>
      <c r="E339" s="1" t="s">
        <v>1269</v>
      </c>
    </row>
    <row r="340" spans="1:5">
      <c r="A340" s="1" t="s">
        <v>1276</v>
      </c>
      <c r="B340" s="1" t="s">
        <v>1154</v>
      </c>
      <c r="D340" s="1" t="s">
        <v>1214</v>
      </c>
      <c r="E340" s="1" t="s">
        <v>1270</v>
      </c>
    </row>
    <row r="341" spans="1:5">
      <c r="A341" s="1" t="s">
        <v>1276</v>
      </c>
      <c r="B341" s="1" t="s">
        <v>1155</v>
      </c>
      <c r="D341" s="1" t="s">
        <v>1215</v>
      </c>
      <c r="E341" s="1" t="s">
        <v>1271</v>
      </c>
    </row>
    <row r="342" spans="1:5">
      <c r="A342" s="1" t="s">
        <v>1276</v>
      </c>
      <c r="B342" s="1" t="s">
        <v>1156</v>
      </c>
      <c r="D342" s="1" t="s">
        <v>1216</v>
      </c>
      <c r="E342" s="1" t="s">
        <v>1272</v>
      </c>
    </row>
    <row r="343" spans="1:5">
      <c r="A343" s="1" t="s">
        <v>1276</v>
      </c>
      <c r="B343" s="1" t="s">
        <v>1157</v>
      </c>
      <c r="D343" s="1" t="s">
        <v>1217</v>
      </c>
      <c r="E343" s="1" t="s">
        <v>1273</v>
      </c>
    </row>
    <row r="344" spans="1:5">
      <c r="A344" s="1" t="s">
        <v>1276</v>
      </c>
      <c r="B344" s="1" t="s">
        <v>1158</v>
      </c>
      <c r="D344" s="1" t="s">
        <v>1218</v>
      </c>
      <c r="E344" s="1">
        <v>76318078</v>
      </c>
    </row>
    <row r="345" spans="1:5">
      <c r="A345" s="1" t="s">
        <v>1276</v>
      </c>
      <c r="B345" s="1" t="s">
        <v>1159</v>
      </c>
      <c r="D345" s="1" t="s">
        <v>1219</v>
      </c>
      <c r="E345" s="1" t="s">
        <v>1274</v>
      </c>
    </row>
    <row r="346" spans="1:5">
      <c r="A346" s="1" t="s">
        <v>1276</v>
      </c>
      <c r="B346" s="1" t="s">
        <v>1160</v>
      </c>
      <c r="D346" s="1" t="s">
        <v>1220</v>
      </c>
      <c r="E346" s="1" t="s">
        <v>1275</v>
      </c>
    </row>
    <row r="347" spans="1:5">
      <c r="A347" s="1" t="s">
        <v>1276</v>
      </c>
      <c r="B347" s="1" t="s">
        <v>1161</v>
      </c>
      <c r="D347" s="1" t="s">
        <v>1221</v>
      </c>
    </row>
    <row r="348" spans="1:5">
      <c r="A348" s="1" t="s">
        <v>1276</v>
      </c>
      <c r="B348" s="1" t="s">
        <v>1162</v>
      </c>
      <c r="D348" s="1" t="s">
        <v>1222</v>
      </c>
    </row>
    <row r="349" spans="1:5">
      <c r="A349" s="1" t="s">
        <v>1276</v>
      </c>
      <c r="B349" s="1" t="s">
        <v>1163</v>
      </c>
      <c r="D349" s="1" t="s">
        <v>1223</v>
      </c>
    </row>
    <row r="350" spans="1:5">
      <c r="A350" s="1" t="s">
        <v>1276</v>
      </c>
      <c r="B350" s="1" t="s">
        <v>1164</v>
      </c>
      <c r="D350" s="1" t="s">
        <v>1224</v>
      </c>
    </row>
    <row r="351" spans="1:5">
      <c r="A351" s="1" t="s">
        <v>1276</v>
      </c>
      <c r="B351" s="1" t="s">
        <v>1165</v>
      </c>
      <c r="D351" s="1" t="s">
        <v>1225</v>
      </c>
    </row>
    <row r="352" spans="1:5">
      <c r="A352" s="1" t="s">
        <v>1276</v>
      </c>
      <c r="B352" s="1" t="s">
        <v>1166</v>
      </c>
      <c r="D352" s="1" t="s">
        <v>1226</v>
      </c>
    </row>
    <row r="353" spans="1:5">
      <c r="A353" s="1" t="s">
        <v>1276</v>
      </c>
      <c r="B353" s="1" t="s">
        <v>1167</v>
      </c>
      <c r="D353" s="1" t="s">
        <v>1227</v>
      </c>
    </row>
    <row r="354" spans="1:5">
      <c r="A354" s="1" t="s">
        <v>1276</v>
      </c>
      <c r="B354" s="1" t="s">
        <v>1168</v>
      </c>
      <c r="D354" s="1" t="s">
        <v>1228</v>
      </c>
    </row>
    <row r="355" spans="1:5">
      <c r="A355" s="1" t="s">
        <v>1276</v>
      </c>
      <c r="B355" s="1" t="s">
        <v>1169</v>
      </c>
      <c r="D355" s="1" t="s">
        <v>1229</v>
      </c>
    </row>
    <row r="356" spans="1:5">
      <c r="A356" s="1" t="s">
        <v>1276</v>
      </c>
      <c r="B356" s="1" t="s">
        <v>1170</v>
      </c>
      <c r="D356" s="1" t="s">
        <v>1230</v>
      </c>
    </row>
    <row r="357" spans="1:5">
      <c r="A357" s="1" t="s">
        <v>1276</v>
      </c>
      <c r="B357" s="1" t="s">
        <v>1171</v>
      </c>
      <c r="D357" s="1" t="s">
        <v>1231</v>
      </c>
    </row>
    <row r="358" spans="1:5">
      <c r="A358" s="1" t="s">
        <v>1276</v>
      </c>
      <c r="B358" s="1" t="s">
        <v>1172</v>
      </c>
      <c r="D358" s="1" t="s">
        <v>1232</v>
      </c>
    </row>
    <row r="359" spans="1:5">
      <c r="A359" s="1" t="s">
        <v>1276</v>
      </c>
      <c r="B359" s="1" t="s">
        <v>1173</v>
      </c>
      <c r="D359" s="1" t="s">
        <v>1233</v>
      </c>
    </row>
    <row r="360" spans="1:5">
      <c r="A360" s="1" t="s">
        <v>1276</v>
      </c>
      <c r="B360" s="1" t="s">
        <v>1174</v>
      </c>
      <c r="D360" s="1" t="s">
        <v>1234</v>
      </c>
    </row>
    <row r="361" spans="1:5">
      <c r="A361" s="1" t="s">
        <v>1276</v>
      </c>
      <c r="B361" s="1" t="s">
        <v>1175</v>
      </c>
      <c r="D361" s="1" t="s">
        <v>1235</v>
      </c>
    </row>
    <row r="362" spans="1:5">
      <c r="A362" s="1" t="s">
        <v>1276</v>
      </c>
      <c r="B362" s="1" t="s">
        <v>1176</v>
      </c>
      <c r="D362" s="1" t="s">
        <v>1236</v>
      </c>
    </row>
    <row r="363" spans="1:5">
      <c r="A363" s="1" t="s">
        <v>1276</v>
      </c>
      <c r="B363" s="1" t="s">
        <v>1177</v>
      </c>
      <c r="D363" s="1" t="s">
        <v>1237</v>
      </c>
    </row>
    <row r="364" spans="1:5">
      <c r="A364" s="1" t="s">
        <v>1276</v>
      </c>
      <c r="B364" s="1" t="s">
        <v>1178</v>
      </c>
      <c r="D364" s="1" t="s">
        <v>1238</v>
      </c>
    </row>
    <row r="365" spans="1:5">
      <c r="A365" s="1" t="s">
        <v>1276</v>
      </c>
      <c r="B365" s="1" t="s">
        <v>1179</v>
      </c>
      <c r="D365" s="1" t="s">
        <v>1239</v>
      </c>
    </row>
    <row r="366" spans="1:5">
      <c r="A366" s="1" t="s">
        <v>1276</v>
      </c>
      <c r="B366" s="1" t="s">
        <v>1180</v>
      </c>
      <c r="D366" s="1" t="s">
        <v>1240</v>
      </c>
    </row>
    <row r="367" spans="1:5">
      <c r="A367" s="1" t="s">
        <v>1276</v>
      </c>
      <c r="B367" s="1" t="s">
        <v>1181</v>
      </c>
      <c r="D367" s="1" t="s">
        <v>1241</v>
      </c>
    </row>
    <row r="368" spans="1:5">
      <c r="A368" s="1" t="s">
        <v>1285</v>
      </c>
      <c r="B368" s="1" t="s">
        <v>1284</v>
      </c>
      <c r="C368" s="1" t="s">
        <v>4</v>
      </c>
      <c r="D368" s="1" t="s">
        <v>1277</v>
      </c>
      <c r="E368" s="1" t="s">
        <v>1280</v>
      </c>
    </row>
    <row r="369" spans="1:5">
      <c r="A369" s="1" t="s">
        <v>1285</v>
      </c>
      <c r="B369" s="1" t="s">
        <v>1283</v>
      </c>
      <c r="C369" s="1" t="s">
        <v>4</v>
      </c>
      <c r="D369" s="1" t="s">
        <v>1278</v>
      </c>
      <c r="E369" s="1" t="s">
        <v>1281</v>
      </c>
    </row>
    <row r="370" spans="1:5">
      <c r="A370" s="1" t="s">
        <v>1285</v>
      </c>
      <c r="B370" s="1" t="s">
        <v>1283</v>
      </c>
      <c r="C370" s="1" t="s">
        <v>4</v>
      </c>
      <c r="D370" s="1" t="s">
        <v>1279</v>
      </c>
      <c r="E370" s="1" t="s">
        <v>1282</v>
      </c>
    </row>
    <row r="371" spans="1:5">
      <c r="A371" s="1" t="s">
        <v>1440</v>
      </c>
      <c r="B371" s="1" t="s">
        <v>1286</v>
      </c>
      <c r="C371" s="1" t="s">
        <v>149</v>
      </c>
      <c r="D371" s="1" t="s">
        <v>1367</v>
      </c>
      <c r="E371" s="1">
        <v>34414194</v>
      </c>
    </row>
    <row r="372" spans="1:5">
      <c r="A372" s="1" t="s">
        <v>1440</v>
      </c>
      <c r="B372" s="1" t="s">
        <v>1287</v>
      </c>
      <c r="C372" s="1" t="s">
        <v>159</v>
      </c>
      <c r="D372" s="1" t="s">
        <v>1368</v>
      </c>
      <c r="E372" s="1">
        <v>37728884</v>
      </c>
    </row>
    <row r="373" spans="1:5">
      <c r="A373" s="1" t="s">
        <v>1440</v>
      </c>
      <c r="B373" s="1" t="s">
        <v>1288</v>
      </c>
      <c r="C373" s="1" t="s">
        <v>210</v>
      </c>
      <c r="D373" s="1" t="s">
        <v>1369</v>
      </c>
      <c r="E373" s="1">
        <v>37822443</v>
      </c>
    </row>
    <row r="374" spans="1:5" ht="18.5" customHeight="1">
      <c r="A374" s="1" t="s">
        <v>1440</v>
      </c>
      <c r="B374" s="1" t="s">
        <v>1289</v>
      </c>
      <c r="C374" s="1" t="s">
        <v>210</v>
      </c>
      <c r="D374" s="1" t="s">
        <v>1370</v>
      </c>
      <c r="E374" s="1">
        <v>37822624</v>
      </c>
    </row>
    <row r="375" spans="1:5">
      <c r="A375" s="1" t="s">
        <v>1440</v>
      </c>
      <c r="B375" s="1" t="s">
        <v>1290</v>
      </c>
      <c r="C375" s="1" t="s">
        <v>1349</v>
      </c>
      <c r="D375" s="1" t="s">
        <v>1416</v>
      </c>
      <c r="E375" s="1" t="s">
        <v>1418</v>
      </c>
    </row>
    <row r="376" spans="1:5">
      <c r="A376" s="1" t="s">
        <v>1440</v>
      </c>
      <c r="B376" s="1" t="s">
        <v>1291</v>
      </c>
      <c r="C376" s="1" t="s">
        <v>1349</v>
      </c>
      <c r="D376" s="1" t="s">
        <v>1417</v>
      </c>
      <c r="E376" s="1" t="s">
        <v>1419</v>
      </c>
    </row>
    <row r="377" spans="1:5">
      <c r="A377" s="1" t="s">
        <v>1440</v>
      </c>
      <c r="B377" s="1" t="s">
        <v>1292</v>
      </c>
      <c r="C377" s="1" t="s">
        <v>1350</v>
      </c>
      <c r="D377" s="1" t="s">
        <v>1435</v>
      </c>
      <c r="E377" s="1">
        <v>46323055</v>
      </c>
    </row>
    <row r="378" spans="1:5">
      <c r="A378" s="1" t="s">
        <v>1440</v>
      </c>
      <c r="B378" s="1" t="s">
        <v>1293</v>
      </c>
      <c r="C378" s="1" t="s">
        <v>1351</v>
      </c>
      <c r="D378" s="1" t="s">
        <v>1371</v>
      </c>
      <c r="E378" s="1">
        <v>32228440</v>
      </c>
    </row>
    <row r="379" spans="1:5">
      <c r="A379" s="1" t="s">
        <v>1440</v>
      </c>
      <c r="B379" s="1" t="s">
        <v>1294</v>
      </c>
      <c r="C379" s="1" t="s">
        <v>232</v>
      </c>
      <c r="D379" s="1" t="s">
        <v>1372</v>
      </c>
      <c r="E379" s="1">
        <v>32231832</v>
      </c>
    </row>
    <row r="380" spans="1:5">
      <c r="A380" s="1" t="s">
        <v>1440</v>
      </c>
      <c r="B380" s="1" t="s">
        <v>1295</v>
      </c>
      <c r="C380" s="1" t="s">
        <v>232</v>
      </c>
      <c r="D380" s="1" t="s">
        <v>1373</v>
      </c>
      <c r="E380" s="1">
        <v>32233821</v>
      </c>
    </row>
    <row r="381" spans="1:5">
      <c r="A381" s="1" t="s">
        <v>1440</v>
      </c>
      <c r="B381" s="1" t="s">
        <v>1296</v>
      </c>
      <c r="C381" s="1" t="s">
        <v>259</v>
      </c>
      <c r="D381" s="1" t="s">
        <v>1374</v>
      </c>
      <c r="E381" s="1">
        <v>35630147</v>
      </c>
    </row>
    <row r="382" spans="1:5">
      <c r="A382" s="1" t="s">
        <v>1440</v>
      </c>
      <c r="B382" s="1" t="s">
        <v>1297</v>
      </c>
      <c r="C382" s="1" t="s">
        <v>251</v>
      </c>
      <c r="D382" s="1" t="s">
        <v>1375</v>
      </c>
      <c r="E382" s="1">
        <v>36435414</v>
      </c>
    </row>
    <row r="383" spans="1:5">
      <c r="A383" s="1" t="s">
        <v>1440</v>
      </c>
      <c r="B383" s="1" t="s">
        <v>1298</v>
      </c>
      <c r="C383" s="1" t="s">
        <v>1352</v>
      </c>
      <c r="D383" s="1" t="s">
        <v>1376</v>
      </c>
      <c r="E383" s="1">
        <v>34272317</v>
      </c>
    </row>
    <row r="384" spans="1:5">
      <c r="A384" s="1" t="s">
        <v>1440</v>
      </c>
      <c r="B384" s="1" t="s">
        <v>1299</v>
      </c>
      <c r="C384" s="1" t="s">
        <v>239</v>
      </c>
      <c r="D384" s="1" t="s">
        <v>1377</v>
      </c>
      <c r="E384" s="1">
        <v>46255511</v>
      </c>
    </row>
    <row r="385" spans="1:5">
      <c r="A385" s="1" t="s">
        <v>1440</v>
      </c>
      <c r="B385" s="1" t="s">
        <v>1300</v>
      </c>
      <c r="C385" s="1" t="s">
        <v>1353</v>
      </c>
      <c r="D385" s="1" t="s">
        <v>1378</v>
      </c>
      <c r="E385" s="1">
        <v>33453567</v>
      </c>
    </row>
    <row r="386" spans="1:5">
      <c r="A386" s="1" t="s">
        <v>1440</v>
      </c>
      <c r="B386" s="1" t="s">
        <v>1301</v>
      </c>
      <c r="C386" s="1" t="s">
        <v>3</v>
      </c>
      <c r="D386" s="1" t="s">
        <v>1379</v>
      </c>
      <c r="E386" s="1">
        <v>32239592</v>
      </c>
    </row>
    <row r="387" spans="1:5">
      <c r="A387" s="1" t="s">
        <v>1440</v>
      </c>
      <c r="B387" s="1" t="s">
        <v>1302</v>
      </c>
      <c r="C387" s="1" t="s">
        <v>79</v>
      </c>
      <c r="D387" s="1" t="s">
        <v>1380</v>
      </c>
      <c r="E387" s="1" t="s">
        <v>1420</v>
      </c>
    </row>
    <row r="388" spans="1:5" ht="18.5" customHeight="1">
      <c r="A388" s="1" t="s">
        <v>1440</v>
      </c>
      <c r="B388" s="1" t="s">
        <v>1303</v>
      </c>
      <c r="C388" s="1" t="s">
        <v>4</v>
      </c>
      <c r="D388" s="1" t="s">
        <v>1381</v>
      </c>
      <c r="E388" s="1">
        <v>66704627</v>
      </c>
    </row>
    <row r="389" spans="1:5">
      <c r="A389" s="1" t="s">
        <v>1440</v>
      </c>
      <c r="B389" s="1" t="s">
        <v>1304</v>
      </c>
      <c r="C389" s="1" t="s">
        <v>4</v>
      </c>
      <c r="D389" s="1" t="s">
        <v>1382</v>
      </c>
      <c r="E389" s="1" t="s">
        <v>1421</v>
      </c>
    </row>
    <row r="390" spans="1:5">
      <c r="A390" s="1" t="s">
        <v>1440</v>
      </c>
      <c r="B390" s="1" t="s">
        <v>1305</v>
      </c>
      <c r="C390" s="1" t="s">
        <v>4</v>
      </c>
      <c r="D390" s="1" t="s">
        <v>1383</v>
      </c>
      <c r="E390" s="1">
        <v>33123930</v>
      </c>
    </row>
    <row r="391" spans="1:5">
      <c r="A391" s="1" t="s">
        <v>1440</v>
      </c>
      <c r="B391" s="1" t="s">
        <v>1306</v>
      </c>
      <c r="C391" s="1" t="s">
        <v>4</v>
      </c>
      <c r="D391" s="1" t="s">
        <v>1384</v>
      </c>
      <c r="E391" s="1">
        <v>33139896</v>
      </c>
    </row>
    <row r="392" spans="1:5">
      <c r="A392" s="1" t="s">
        <v>1440</v>
      </c>
      <c r="B392" s="1" t="s">
        <v>1307</v>
      </c>
      <c r="C392" s="1" t="s">
        <v>4</v>
      </c>
      <c r="D392" s="1" t="s">
        <v>1385</v>
      </c>
      <c r="E392" s="1">
        <v>33551129</v>
      </c>
    </row>
    <row r="393" spans="1:5">
      <c r="A393" s="1" t="s">
        <v>1440</v>
      </c>
      <c r="B393" s="1" t="s">
        <v>1308</v>
      </c>
      <c r="C393" s="1" t="s">
        <v>1354</v>
      </c>
      <c r="D393" s="1" t="s">
        <v>1386</v>
      </c>
      <c r="E393" s="1">
        <v>76448995</v>
      </c>
    </row>
    <row r="394" spans="1:5">
      <c r="A394" s="1" t="s">
        <v>1440</v>
      </c>
      <c r="B394" s="1" t="s">
        <v>1309</v>
      </c>
      <c r="C394" s="1" t="s">
        <v>403</v>
      </c>
      <c r="D394" s="1" t="s">
        <v>1387</v>
      </c>
      <c r="E394" s="1">
        <v>76503872</v>
      </c>
    </row>
    <row r="395" spans="1:5">
      <c r="A395" s="1" t="s">
        <v>1440</v>
      </c>
      <c r="B395" s="1" t="s">
        <v>1310</v>
      </c>
      <c r="C395" s="1" t="s">
        <v>1355</v>
      </c>
      <c r="D395" s="1" t="s">
        <v>1388</v>
      </c>
      <c r="E395" s="1">
        <v>76318078</v>
      </c>
    </row>
    <row r="396" spans="1:5">
      <c r="A396" s="1" t="s">
        <v>1440</v>
      </c>
      <c r="B396" s="1" t="s">
        <v>1311</v>
      </c>
      <c r="C396" s="1" t="s">
        <v>1356</v>
      </c>
      <c r="D396" s="1" t="s">
        <v>1389</v>
      </c>
      <c r="E396" s="1">
        <v>56721870</v>
      </c>
    </row>
    <row r="397" spans="1:5" ht="18.5" customHeight="1">
      <c r="A397" s="1" t="s">
        <v>1440</v>
      </c>
      <c r="B397" s="1" t="s">
        <v>1312</v>
      </c>
      <c r="C397" s="1" t="s">
        <v>477</v>
      </c>
      <c r="D397" s="1" t="s">
        <v>1436</v>
      </c>
      <c r="E397" s="1">
        <v>37278837</v>
      </c>
    </row>
    <row r="398" spans="1:5">
      <c r="A398" s="1" t="s">
        <v>1440</v>
      </c>
      <c r="B398" s="1" t="s">
        <v>1313</v>
      </c>
      <c r="C398" s="1" t="s">
        <v>1357</v>
      </c>
      <c r="D398" s="1" t="s">
        <v>1390</v>
      </c>
      <c r="E398" s="1">
        <v>42213944</v>
      </c>
    </row>
    <row r="399" spans="1:5">
      <c r="A399" s="1" t="s">
        <v>1440</v>
      </c>
      <c r="B399" s="1" t="s">
        <v>1314</v>
      </c>
      <c r="C399" s="1" t="s">
        <v>512</v>
      </c>
      <c r="D399" s="1" t="s">
        <v>1391</v>
      </c>
      <c r="E399" s="1">
        <v>32217117</v>
      </c>
    </row>
    <row r="400" spans="1:5">
      <c r="A400" s="1" t="s">
        <v>1440</v>
      </c>
      <c r="B400" s="1" t="s">
        <v>1315</v>
      </c>
      <c r="C400" s="1" t="s">
        <v>545</v>
      </c>
      <c r="D400" s="1" t="s">
        <v>1392</v>
      </c>
      <c r="E400" s="1">
        <v>52833772</v>
      </c>
    </row>
    <row r="401" spans="1:5">
      <c r="A401" s="1" t="s">
        <v>1440</v>
      </c>
      <c r="B401" s="1" t="s">
        <v>1316</v>
      </c>
      <c r="C401" s="1" t="s">
        <v>545</v>
      </c>
      <c r="D401" s="1" t="s">
        <v>1393</v>
      </c>
      <c r="E401" s="1">
        <v>52838960</v>
      </c>
    </row>
    <row r="402" spans="1:5">
      <c r="A402" s="1" t="s">
        <v>1440</v>
      </c>
      <c r="B402" s="1" t="s">
        <v>1317</v>
      </c>
      <c r="C402" s="1" t="s">
        <v>545</v>
      </c>
      <c r="D402" s="1" t="s">
        <v>1437</v>
      </c>
      <c r="E402" s="1">
        <v>4220490</v>
      </c>
    </row>
    <row r="403" spans="1:5">
      <c r="A403" s="1" t="s">
        <v>1440</v>
      </c>
      <c r="B403" s="1" t="s">
        <v>1318</v>
      </c>
      <c r="C403" s="1" t="s">
        <v>545</v>
      </c>
      <c r="D403" s="1" t="s">
        <v>1394</v>
      </c>
      <c r="E403" s="1">
        <v>52839301</v>
      </c>
    </row>
    <row r="404" spans="1:5">
      <c r="A404" s="1" t="s">
        <v>1440</v>
      </c>
      <c r="B404" s="1" t="s">
        <v>1319</v>
      </c>
      <c r="C404" s="1" t="s">
        <v>559</v>
      </c>
      <c r="D404" s="1" t="s">
        <v>1395</v>
      </c>
      <c r="E404" s="1">
        <v>42236101</v>
      </c>
    </row>
    <row r="405" spans="1:5">
      <c r="A405" s="1" t="s">
        <v>1440</v>
      </c>
      <c r="B405" s="1" t="s">
        <v>1320</v>
      </c>
      <c r="C405" s="1" t="s">
        <v>567</v>
      </c>
      <c r="D405" s="1" t="s">
        <v>1396</v>
      </c>
      <c r="E405" s="1">
        <v>36229792</v>
      </c>
    </row>
    <row r="406" spans="1:5">
      <c r="A406" s="1" t="s">
        <v>1440</v>
      </c>
      <c r="B406" s="1" t="s">
        <v>1321</v>
      </c>
      <c r="C406" s="1" t="s">
        <v>583</v>
      </c>
      <c r="D406" s="1" t="s">
        <v>1397</v>
      </c>
      <c r="E406" s="1" t="s">
        <v>1422</v>
      </c>
    </row>
    <row r="407" spans="1:5">
      <c r="A407" s="1" t="s">
        <v>1440</v>
      </c>
      <c r="B407" s="1" t="s">
        <v>1322</v>
      </c>
      <c r="C407" s="1" t="s">
        <v>640</v>
      </c>
      <c r="D407" s="1" t="s">
        <v>1398</v>
      </c>
      <c r="E407" s="1" t="s">
        <v>1423</v>
      </c>
    </row>
    <row r="408" spans="1:5">
      <c r="A408" s="1" t="s">
        <v>1440</v>
      </c>
      <c r="B408" s="1" t="s">
        <v>1323</v>
      </c>
      <c r="C408" s="1" t="s">
        <v>1358</v>
      </c>
      <c r="D408" s="1" t="s">
        <v>1438</v>
      </c>
      <c r="E408" s="1" t="s">
        <v>1424</v>
      </c>
    </row>
    <row r="409" spans="1:5">
      <c r="A409" s="1" t="s">
        <v>1440</v>
      </c>
      <c r="B409" s="1" t="s">
        <v>1324</v>
      </c>
      <c r="C409" s="1" t="s">
        <v>1358</v>
      </c>
      <c r="D409" s="1" t="s">
        <v>1399</v>
      </c>
      <c r="E409" s="1">
        <v>33234352</v>
      </c>
    </row>
    <row r="410" spans="1:5" ht="18.5" customHeight="1">
      <c r="A410" s="1" t="s">
        <v>1440</v>
      </c>
      <c r="B410" s="1" t="s">
        <v>1325</v>
      </c>
      <c r="C410" s="1" t="s">
        <v>720</v>
      </c>
      <c r="D410" s="1" t="s">
        <v>1439</v>
      </c>
      <c r="E410" s="1">
        <v>36611434</v>
      </c>
    </row>
    <row r="411" spans="1:5">
      <c r="A411" s="1" t="s">
        <v>1440</v>
      </c>
      <c r="B411" s="1" t="s">
        <v>1326</v>
      </c>
      <c r="C411" s="1" t="s">
        <v>720</v>
      </c>
      <c r="D411" s="1" t="s">
        <v>1400</v>
      </c>
      <c r="E411" s="1">
        <v>32857600</v>
      </c>
    </row>
    <row r="412" spans="1:5">
      <c r="A412" s="1" t="s">
        <v>1440</v>
      </c>
      <c r="B412" s="1" t="s">
        <v>1327</v>
      </c>
      <c r="C412" s="1" t="s">
        <v>1359</v>
      </c>
      <c r="D412" s="1" t="s">
        <v>1401</v>
      </c>
      <c r="E412" s="1">
        <v>45352726</v>
      </c>
    </row>
    <row r="413" spans="1:5">
      <c r="A413" s="1" t="s">
        <v>1440</v>
      </c>
      <c r="B413" s="1" t="s">
        <v>1328</v>
      </c>
      <c r="C413" s="1" t="s">
        <v>5</v>
      </c>
      <c r="D413" s="1" t="s">
        <v>1402</v>
      </c>
      <c r="E413" s="1">
        <v>32256434</v>
      </c>
    </row>
    <row r="414" spans="1:5">
      <c r="A414" s="1" t="s">
        <v>1440</v>
      </c>
      <c r="B414" s="1" t="s">
        <v>1329</v>
      </c>
      <c r="C414" s="1" t="s">
        <v>741</v>
      </c>
      <c r="D414" s="1" t="s">
        <v>1403</v>
      </c>
      <c r="E414" s="1">
        <v>34224437</v>
      </c>
    </row>
    <row r="415" spans="1:5">
      <c r="A415" s="1" t="s">
        <v>1440</v>
      </c>
      <c r="B415" s="1" t="s">
        <v>1330</v>
      </c>
      <c r="C415" s="1" t="s">
        <v>730</v>
      </c>
      <c r="D415" s="1" t="s">
        <v>1404</v>
      </c>
      <c r="E415" s="1">
        <v>33291105</v>
      </c>
    </row>
    <row r="416" spans="1:5">
      <c r="A416" s="1" t="s">
        <v>1440</v>
      </c>
      <c r="B416" s="1" t="s">
        <v>1331</v>
      </c>
      <c r="C416" s="1" t="s">
        <v>767</v>
      </c>
      <c r="D416" s="1" t="s">
        <v>1405</v>
      </c>
      <c r="E416" s="1">
        <v>34502463</v>
      </c>
    </row>
    <row r="417" spans="1:5">
      <c r="A417" s="1" t="s">
        <v>1440</v>
      </c>
      <c r="B417" s="1" t="s">
        <v>1332</v>
      </c>
      <c r="C417" s="1" t="s">
        <v>771</v>
      </c>
      <c r="D417" s="1" t="s">
        <v>1406</v>
      </c>
      <c r="E417" s="1" t="s">
        <v>1425</v>
      </c>
    </row>
    <row r="418" spans="1:5">
      <c r="A418" s="1" t="s">
        <v>1440</v>
      </c>
      <c r="B418" s="1" t="s">
        <v>1333</v>
      </c>
      <c r="C418" s="1" t="s">
        <v>787</v>
      </c>
      <c r="D418" s="1" t="s">
        <v>1407</v>
      </c>
      <c r="E418" s="1">
        <v>34266667</v>
      </c>
    </row>
    <row r="419" spans="1:5">
      <c r="A419" s="1" t="s">
        <v>1440</v>
      </c>
      <c r="B419" s="1" t="s">
        <v>1334</v>
      </c>
      <c r="C419" s="1" t="s">
        <v>815</v>
      </c>
      <c r="D419" s="1" t="s">
        <v>1408</v>
      </c>
      <c r="E419" s="1">
        <v>37226993</v>
      </c>
    </row>
    <row r="420" spans="1:5">
      <c r="A420" s="1" t="s">
        <v>1440</v>
      </c>
      <c r="B420" s="1" t="s">
        <v>1335</v>
      </c>
      <c r="C420" s="1" t="s">
        <v>842</v>
      </c>
      <c r="D420" s="1" t="s">
        <v>1409</v>
      </c>
      <c r="E420" s="1">
        <v>32222310</v>
      </c>
    </row>
    <row r="421" spans="1:5">
      <c r="A421" s="1" t="s">
        <v>1440</v>
      </c>
      <c r="B421" s="1" t="s">
        <v>1336</v>
      </c>
      <c r="C421" s="1" t="s">
        <v>1360</v>
      </c>
      <c r="D421" s="1" t="s">
        <v>1410</v>
      </c>
      <c r="E421" s="1">
        <v>33223232</v>
      </c>
    </row>
    <row r="422" spans="1:5">
      <c r="A422" s="1" t="s">
        <v>1440</v>
      </c>
      <c r="B422" s="1" t="s">
        <v>1337</v>
      </c>
      <c r="C422" s="1" t="s">
        <v>1361</v>
      </c>
      <c r="D422" s="1" t="s">
        <v>1411</v>
      </c>
      <c r="E422" s="1" t="s">
        <v>1426</v>
      </c>
    </row>
    <row r="423" spans="1:5">
      <c r="A423" s="1" t="s">
        <v>1440</v>
      </c>
      <c r="B423" s="1" t="s">
        <v>1338</v>
      </c>
      <c r="C423" s="1" t="s">
        <v>1362</v>
      </c>
      <c r="D423" s="1" t="s">
        <v>1412</v>
      </c>
      <c r="E423" s="1">
        <v>33250856</v>
      </c>
    </row>
    <row r="424" spans="1:5">
      <c r="A424" s="1" t="s">
        <v>1440</v>
      </c>
      <c r="B424" s="1" t="s">
        <v>1339</v>
      </c>
      <c r="C424" s="1" t="s">
        <v>939</v>
      </c>
      <c r="D424" s="1" t="s">
        <v>1413</v>
      </c>
      <c r="E424" s="1">
        <v>3412153</v>
      </c>
    </row>
    <row r="425" spans="1:5">
      <c r="A425" s="1" t="s">
        <v>1440</v>
      </c>
      <c r="B425" s="1" t="s">
        <v>1340</v>
      </c>
      <c r="C425" s="1" t="s">
        <v>939</v>
      </c>
      <c r="D425" s="1" t="s">
        <v>1414</v>
      </c>
      <c r="E425" s="1">
        <v>32205326</v>
      </c>
    </row>
    <row r="426" spans="1:5" ht="18.5" customHeight="1">
      <c r="A426" s="1" t="s">
        <v>1440</v>
      </c>
      <c r="B426" s="1" t="s">
        <v>1341</v>
      </c>
      <c r="C426" s="1" t="s">
        <v>972</v>
      </c>
      <c r="D426" s="1" t="s">
        <v>1415</v>
      </c>
      <c r="E426" s="1" t="s">
        <v>1427</v>
      </c>
    </row>
    <row r="427" spans="1:5" ht="18.5" customHeight="1">
      <c r="A427" s="1" t="s">
        <v>1440</v>
      </c>
      <c r="B427" s="1" t="s">
        <v>1342</v>
      </c>
      <c r="C427" s="1" t="s">
        <v>1363</v>
      </c>
      <c r="D427" s="1" t="s">
        <v>1433</v>
      </c>
      <c r="E427" s="1">
        <v>54310740</v>
      </c>
    </row>
    <row r="428" spans="1:5">
      <c r="A428" s="1" t="s">
        <v>1440</v>
      </c>
      <c r="B428" s="1" t="s">
        <v>1343</v>
      </c>
      <c r="C428" s="1" t="s">
        <v>1364</v>
      </c>
      <c r="D428" s="1" t="s">
        <v>1428</v>
      </c>
      <c r="E428" s="1">
        <v>34173347</v>
      </c>
    </row>
    <row r="429" spans="1:5">
      <c r="A429" s="1" t="s">
        <v>1440</v>
      </c>
      <c r="B429" s="1" t="s">
        <v>1344</v>
      </c>
      <c r="C429" s="1" t="s">
        <v>1041</v>
      </c>
      <c r="D429" s="1" t="s">
        <v>1434</v>
      </c>
      <c r="E429" s="1">
        <v>32246411</v>
      </c>
    </row>
    <row r="430" spans="1:5">
      <c r="A430" s="1" t="s">
        <v>1440</v>
      </c>
      <c r="B430" s="1" t="s">
        <v>1345</v>
      </c>
      <c r="C430" s="1" t="s">
        <v>1365</v>
      </c>
      <c r="D430" s="1" t="s">
        <v>1429</v>
      </c>
      <c r="E430" s="1">
        <v>33124650</v>
      </c>
    </row>
    <row r="431" spans="1:5">
      <c r="A431" s="1" t="s">
        <v>1440</v>
      </c>
      <c r="B431" s="1" t="s">
        <v>1346</v>
      </c>
      <c r="C431" s="1" t="s">
        <v>1083</v>
      </c>
      <c r="D431" s="1" t="s">
        <v>1430</v>
      </c>
      <c r="E431" s="1">
        <v>3247834</v>
      </c>
    </row>
    <row r="432" spans="1:5">
      <c r="A432" s="1" t="s">
        <v>1440</v>
      </c>
      <c r="B432" s="1" t="s">
        <v>1347</v>
      </c>
      <c r="C432" s="1" t="s">
        <v>1074</v>
      </c>
      <c r="D432" s="1" t="s">
        <v>1431</v>
      </c>
      <c r="E432" s="1">
        <v>32522417</v>
      </c>
    </row>
    <row r="433" spans="1:5">
      <c r="A433" s="1" t="s">
        <v>1440</v>
      </c>
      <c r="B433" s="1" t="s">
        <v>1348</v>
      </c>
      <c r="C433" s="1" t="s">
        <v>1366</v>
      </c>
      <c r="D433" s="1" t="s">
        <v>1432</v>
      </c>
      <c r="E433" s="1">
        <v>6261327</v>
      </c>
    </row>
    <row r="434" spans="1:5">
      <c r="A434" s="1" t="s">
        <v>1441</v>
      </c>
      <c r="B434" s="1" t="str">
        <f>"اهواز"</f>
        <v>اهواز</v>
      </c>
      <c r="C434" s="1" t="str">
        <f>"مرادي شهرام"</f>
        <v>مرادي شهرام</v>
      </c>
      <c r="D434" s="1" t="str">
        <f>"خيابان اصلي گلبهار نبش خيابان 17 نسرين"</f>
        <v>خيابان اصلي گلبهار نبش خيابان 17 نسرين</v>
      </c>
      <c r="E434" s="1" t="s">
        <v>1574</v>
      </c>
    </row>
    <row r="435" spans="1:5">
      <c r="A435" s="1" t="s">
        <v>1441</v>
      </c>
      <c r="B435" s="1" t="str">
        <f>"اردبيل"</f>
        <v>اردبيل</v>
      </c>
      <c r="C435" s="1" t="str">
        <f>"فروشگاه مبين"</f>
        <v>فروشگاه مبين</v>
      </c>
      <c r="D435" s="1" t="str">
        <f>"ميدان باکري- روبروي بانک رفاه"</f>
        <v>ميدان باکري- روبروي بانک رفاه</v>
      </c>
      <c r="E435" s="1" t="s">
        <v>1574</v>
      </c>
    </row>
    <row r="436" spans="1:5">
      <c r="A436" s="1" t="s">
        <v>1441</v>
      </c>
      <c r="B436" s="1" t="str">
        <f>"اهواز"</f>
        <v>اهواز</v>
      </c>
      <c r="C436" s="1" t="str">
        <f>"روشني محمد"</f>
        <v>روشني محمد</v>
      </c>
      <c r="D436" s="1" t="str">
        <f>"پرديس خيابان 32 متري بين گلدسته و گلفام جنب مبل نارون"</f>
        <v>پرديس خيابان 32 متري بين گلدسته و گلفام جنب مبل نارون</v>
      </c>
      <c r="E436" s="1" t="s">
        <v>1574</v>
      </c>
    </row>
    <row r="437" spans="1:5">
      <c r="A437" s="1" t="s">
        <v>1441</v>
      </c>
      <c r="B437" s="1" t="str">
        <f>"مرکزي"</f>
        <v>مرکزي</v>
      </c>
      <c r="C437" s="1" t="str">
        <f>"فروشگاه خليج فارس (اراک)"</f>
        <v>فروشگاه خليج فارس (اراک)</v>
      </c>
      <c r="D437" s="1" t="str">
        <f>"اراک-آيت الله غفاري"</f>
        <v>اراک-آيت الله غفاري</v>
      </c>
      <c r="E437" s="1" t="s">
        <v>1574</v>
      </c>
    </row>
    <row r="438" spans="1:5">
      <c r="A438" s="1" t="s">
        <v>1441</v>
      </c>
      <c r="B438" s="1" t="str">
        <f>"اهواز"</f>
        <v>اهواز</v>
      </c>
      <c r="C438" s="1" t="str">
        <f>"ايران نيا نبي اله"</f>
        <v>ايران نيا نبي اله</v>
      </c>
      <c r="D438" s="1" t="str">
        <f>"خيابان غفاري بين مسلم و شريعتي فروشگاه ايران نيا"</f>
        <v>خيابان غفاري بين مسلم و شريعتي فروشگاه ايران نيا</v>
      </c>
      <c r="E438" s="1" t="s">
        <v>1574</v>
      </c>
    </row>
    <row r="439" spans="1:5">
      <c r="A439" s="1" t="s">
        <v>1441</v>
      </c>
      <c r="B439" s="1" t="str">
        <f>"قوچان"</f>
        <v>قوچان</v>
      </c>
      <c r="C439" s="1" t="str">
        <f>"محمودي عبدالله"</f>
        <v>محمودي عبدالله</v>
      </c>
      <c r="D439" s="1" t="str">
        <f>"بلوار مدرس نبش مدرس شمالي 18 پلاک 1"</f>
        <v>بلوار مدرس نبش مدرس شمالي 18 پلاک 1</v>
      </c>
      <c r="E439" s="1" t="s">
        <v>1574</v>
      </c>
    </row>
    <row r="440" spans="1:5">
      <c r="A440" s="1" t="s">
        <v>1441</v>
      </c>
      <c r="B440" s="1" t="str">
        <f>"اراك"</f>
        <v>اراك</v>
      </c>
      <c r="C440" s="1" t="str">
        <f>"کلينيک ساختماني البرز"</f>
        <v>کلينيک ساختماني البرز</v>
      </c>
      <c r="D440" s="1" t="str">
        <f>"خيابان مشهد-روبروي بانک ملت"</f>
        <v>خيابان مشهد-روبروي بانک ملت</v>
      </c>
      <c r="E440" s="1" t="s">
        <v>1574</v>
      </c>
    </row>
    <row r="441" spans="1:5">
      <c r="A441" s="1" t="s">
        <v>1441</v>
      </c>
      <c r="B441" s="1" t="str">
        <f>"فومن"</f>
        <v>فومن</v>
      </c>
      <c r="C441" s="1" t="str">
        <f>"حاجتي قلعه کلي اعظم"</f>
        <v>حاجتي قلعه کلي اعظم</v>
      </c>
      <c r="D441" s="1" t="str">
        <f>"خيابان سردار جنگل-ميدان شکار بانان(ولايت فقيه)-نبش ارتباتي طالقاني-تجهيزات آشپزخانه ايده آل"</f>
        <v>خيابان سردار جنگل-ميدان شکار بانان(ولايت فقيه)-نبش ارتباتي طالقاني-تجهيزات آشپزخانه ايده آل</v>
      </c>
      <c r="E441" s="1" t="s">
        <v>1574</v>
      </c>
    </row>
    <row r="442" spans="1:5">
      <c r="A442" s="1" t="s">
        <v>1441</v>
      </c>
      <c r="B442" s="1" t="str">
        <f>"سربندر"</f>
        <v>سربندر</v>
      </c>
      <c r="C442" s="1" t="str">
        <f>"پوراسداله سجاد"</f>
        <v>پوراسداله سجاد</v>
      </c>
      <c r="D442" s="1" t="str">
        <f>"ميدان بسيج روبروي پارک شهر کلينيک ساختماني سعيد"</f>
        <v>ميدان بسيج روبروي پارک شهر کلينيک ساختماني سعيد</v>
      </c>
      <c r="E442" s="1" t="s">
        <v>1574</v>
      </c>
    </row>
    <row r="443" spans="1:5">
      <c r="A443" s="1" t="s">
        <v>1441</v>
      </c>
      <c r="B443" s="1" t="str">
        <f>"اليگودرز"</f>
        <v>اليگودرز</v>
      </c>
      <c r="C443" s="1" t="str">
        <f>"فروشگاه لوازم خانگي مهدي"</f>
        <v>فروشگاه لوازم خانگي مهدي</v>
      </c>
      <c r="D443" s="1" t="str">
        <f>"اليگودرز، خيابان شريعتي، سه راه 22 بهمن"</f>
        <v>اليگودرز، خيابان شريعتي، سه راه 22 بهمن</v>
      </c>
      <c r="E443" s="1" t="s">
        <v>1574</v>
      </c>
    </row>
    <row r="444" spans="1:5">
      <c r="A444" s="1" t="s">
        <v>1441</v>
      </c>
      <c r="B444" s="1" t="str">
        <f>"رودسر"</f>
        <v>رودسر</v>
      </c>
      <c r="C444" s="1" t="str">
        <f>"شهمرادي مهدي"</f>
        <v>شهمرادي مهدي</v>
      </c>
      <c r="D444" s="1" t="str">
        <f>"گسکر محله ، جنب مدرسه دخترانه فرزانگان"</f>
        <v>گسکر محله ، جنب مدرسه دخترانه فرزانگان</v>
      </c>
      <c r="E444" s="1" t="s">
        <v>1574</v>
      </c>
    </row>
    <row r="445" spans="1:5">
      <c r="A445" s="1" t="s">
        <v>1441</v>
      </c>
      <c r="B445" s="1" t="str">
        <f>"گلوبندك"</f>
        <v>گلوبندك</v>
      </c>
      <c r="C445" s="1" t="str">
        <f>"يوسفيان عبدالله"</f>
        <v>يوسفيان عبدالله</v>
      </c>
      <c r="D445" s="1" t="str">
        <f>"خيابان خيام شمالي- جنب بانک گردشگري پلاک843"</f>
        <v>خيابان خيام شمالي- جنب بانک گردشگري پلاک843</v>
      </c>
      <c r="E445" s="1" t="s">
        <v>1574</v>
      </c>
    </row>
    <row r="446" spans="1:5">
      <c r="A446" s="1" t="s">
        <v>1441</v>
      </c>
      <c r="B446" s="1" t="str">
        <f>"خرم آباد"</f>
        <v>خرم آباد</v>
      </c>
      <c r="C446" s="1" t="str">
        <f>"زندي آرمان(خرم آباد)"</f>
        <v>زندي آرمان(خرم آباد)</v>
      </c>
      <c r="D446" s="1" t="str">
        <f>"بلوار انقلاب ، ميدان بسيج"</f>
        <v>بلوار انقلاب ، ميدان بسيج</v>
      </c>
      <c r="E446" s="1" t="s">
        <v>1574</v>
      </c>
    </row>
    <row r="447" spans="1:5">
      <c r="A447" s="1" t="s">
        <v>1441</v>
      </c>
      <c r="B447" s="1" t="str">
        <f>"خواف"</f>
        <v>خواف</v>
      </c>
      <c r="C447" s="1" t="str">
        <f>"مغزدار غلام محمد"</f>
        <v>مغزدار غلام محمد</v>
      </c>
      <c r="D447" s="1" t="str">
        <f>"انتهاي خيابان نظام ملک يراق آلات مغزدار"</f>
        <v>انتهاي خيابان نظام ملک يراق آلات مغزدار</v>
      </c>
      <c r="E447" s="1" t="s">
        <v>1574</v>
      </c>
    </row>
    <row r="448" spans="1:5">
      <c r="A448" s="1" t="s">
        <v>1441</v>
      </c>
      <c r="B448" s="1" t="str">
        <f>"کرمانشاه"</f>
        <v>کرمانشاه</v>
      </c>
      <c r="C448" s="1" t="str">
        <f>"يوسفي حداد"</f>
        <v>يوسفي حداد</v>
      </c>
      <c r="D448" s="1" t="str">
        <f>"کيلومتر 1 جاده فرودگاه-بالاتر از برمينال شهيد کاوياني-صنايع لرد آرا"</f>
        <v>کيلومتر 1 جاده فرودگاه-بالاتر از برمينال شهيد کاوياني-صنايع لرد آرا</v>
      </c>
      <c r="E448" s="1" t="s">
        <v>1574</v>
      </c>
    </row>
    <row r="449" spans="1:5">
      <c r="A449" s="1" t="s">
        <v>1441</v>
      </c>
      <c r="B449" s="1" t="str">
        <f>"رشت"</f>
        <v>رشت</v>
      </c>
      <c r="C449" s="1" t="str">
        <f>"پورقاسمي مهيار"</f>
        <v>پورقاسمي مهيار</v>
      </c>
      <c r="D449" s="1" t="str">
        <f>"بلوار شهيد قلي پور، روبروي بيمارستان پارس، فروشگاه مهيار"</f>
        <v>بلوار شهيد قلي پور، روبروي بيمارستان پارس، فروشگاه مهيار</v>
      </c>
      <c r="E449" s="1" t="s">
        <v>1574</v>
      </c>
    </row>
    <row r="450" spans="1:5">
      <c r="A450" s="1" t="s">
        <v>1441</v>
      </c>
      <c r="B450" s="1" t="str">
        <f>"مرکزي"</f>
        <v>مرکزي</v>
      </c>
      <c r="C450" s="1" t="str">
        <f>"فروشگاه البرز"</f>
        <v>فروشگاه البرز</v>
      </c>
      <c r="D450" s="1" t="str">
        <f>"خيابان خرم-کوچه خرم-چهارراه ستارخان"</f>
        <v>خيابان خرم-کوچه خرم-چهارراه ستارخان</v>
      </c>
      <c r="E450" s="1" t="s">
        <v>1574</v>
      </c>
    </row>
    <row r="451" spans="1:5">
      <c r="A451" s="1" t="s">
        <v>1441</v>
      </c>
      <c r="B451" s="1" t="str">
        <f>"قزوين"</f>
        <v>قزوين</v>
      </c>
      <c r="C451" s="1" t="str">
        <f>"فروشگاه ايده آل"</f>
        <v>فروشگاه ايده آل</v>
      </c>
      <c r="D451" s="1" t="str">
        <f>"خيابان نادري شمالي، پلاک 28"</f>
        <v>خيابان نادري شمالي، پلاک 28</v>
      </c>
      <c r="E451" s="1" t="s">
        <v>1574</v>
      </c>
    </row>
    <row r="452" spans="1:5">
      <c r="A452" s="1" t="s">
        <v>1441</v>
      </c>
      <c r="B452" s="1" t="str">
        <f>"تالش"</f>
        <v>تالش</v>
      </c>
      <c r="C452" s="1" t="str">
        <f>"پورحبيب مهدي"</f>
        <v>پورحبيب مهدي</v>
      </c>
      <c r="D452" s="1" t="str">
        <f>"بلوار نيايش-روبروي ايستگاه رشت انزلي-فروشگاه نوين کالا"</f>
        <v>بلوار نيايش-روبروي ايستگاه رشت انزلي-فروشگاه نوين کالا</v>
      </c>
      <c r="E452" s="1" t="s">
        <v>1574</v>
      </c>
    </row>
    <row r="453" spans="1:5">
      <c r="A453" s="1" t="s">
        <v>1441</v>
      </c>
      <c r="B453" s="1" t="str">
        <f>"تالش"</f>
        <v>تالش</v>
      </c>
      <c r="C453" s="1" t="str">
        <f>"فرزانه امير"</f>
        <v>فرزانه امير</v>
      </c>
      <c r="D453" s="1" t="str">
        <f>"خيابان 20 متري ، روبروي مجتمع بسيجيان، فروشگاه ايرانيان"</f>
        <v>خيابان 20 متري ، روبروي مجتمع بسيجيان، فروشگاه ايرانيان</v>
      </c>
      <c r="E453" s="1" t="s">
        <v>1574</v>
      </c>
    </row>
    <row r="454" spans="1:5">
      <c r="A454" s="1" t="s">
        <v>1441</v>
      </c>
      <c r="B454" s="1" t="str">
        <f>"بهبهان"</f>
        <v>بهبهان</v>
      </c>
      <c r="C454" s="1" t="str">
        <f>"آقاميري سيد صدر الله"</f>
        <v>آقاميري سيد صدر الله</v>
      </c>
      <c r="D454" s="1" t="str">
        <f>"خيابان امام حسين نرسيده به امام زاده فضل(ع) فروشگاه پايستار"</f>
        <v>خيابان امام حسين نرسيده به امام زاده فضل(ع) فروشگاه پايستار</v>
      </c>
      <c r="E454" s="1" t="s">
        <v>1574</v>
      </c>
    </row>
    <row r="455" spans="1:5">
      <c r="A455" s="1" t="s">
        <v>1441</v>
      </c>
      <c r="B455" s="1" t="str">
        <f>"ايذه"</f>
        <v>ايذه</v>
      </c>
      <c r="C455" s="1" t="str">
        <f>"رحماني مهرداد"</f>
        <v>رحماني مهرداد</v>
      </c>
      <c r="D455" s="1" t="str">
        <f>"خيابان حافظ جنوبي روبروي آموزشگاه رانندگي البرز"</f>
        <v>خيابان حافظ جنوبي روبروي آموزشگاه رانندگي البرز</v>
      </c>
      <c r="E455" s="1" t="s">
        <v>1574</v>
      </c>
    </row>
    <row r="456" spans="1:5">
      <c r="A456" s="1" t="s">
        <v>1441</v>
      </c>
      <c r="B456" s="1" t="str">
        <f>"اراك"</f>
        <v>اراك</v>
      </c>
      <c r="C456" s="1" t="str">
        <f>"کلينيک ساختماني آز"</f>
        <v>کلينيک ساختماني آز</v>
      </c>
      <c r="D456" s="1" t="str">
        <f>"فرميهن- انبار شماره 2"</f>
        <v>فرميهن- انبار شماره 2</v>
      </c>
      <c r="E456" s="1" t="s">
        <v>1574</v>
      </c>
    </row>
    <row r="457" spans="1:5">
      <c r="A457" s="1" t="s">
        <v>1441</v>
      </c>
      <c r="B457" s="1" t="str">
        <f>"تهران"</f>
        <v>تهران</v>
      </c>
      <c r="C457" s="1" t="str">
        <f>"نظري خواجه وحيد"</f>
        <v>نظري خواجه وحيد</v>
      </c>
      <c r="D457" s="1" t="str">
        <f>"بني هاشم ، خيابان صالحي ، کوچه شعباني، پلاک 5 ، واحد 2"</f>
        <v>بني هاشم ، خيابان صالحي ، کوچه شعباني، پلاک 5 ، واحد 2</v>
      </c>
      <c r="E457" s="1" t="s">
        <v>1574</v>
      </c>
    </row>
    <row r="458" spans="1:5">
      <c r="A458" s="1" t="s">
        <v>1441</v>
      </c>
      <c r="B458" s="1" t="str">
        <f>"قزوين"</f>
        <v>قزوين</v>
      </c>
      <c r="C458" s="1" t="str">
        <f>"دهقان ابوالفضل(قزوين)"</f>
        <v>دهقان ابوالفضل(قزوين)</v>
      </c>
      <c r="D458" s="1" t="str">
        <f>"خيابان بابايي ، جنب بانک ملت"</f>
        <v>خيابان بابايي ، جنب بانک ملت</v>
      </c>
      <c r="E458" s="1" t="s">
        <v>1574</v>
      </c>
    </row>
    <row r="459" spans="1:5">
      <c r="A459" s="1" t="s">
        <v>1441</v>
      </c>
      <c r="B459" s="1" t="str">
        <f>"تهران"</f>
        <v>تهران</v>
      </c>
      <c r="C459" s="1" t="str">
        <f>"الهياري بلداجي عبدالله-احمد"</f>
        <v>الهياري بلداجي عبدالله-احمد</v>
      </c>
      <c r="D459" s="1" t="str">
        <f>"گلوبندک ، خيابان خيام ، 50متر مانده به گلوبندک دست چپ، سراي زدرس"</f>
        <v>گلوبندک ، خيابان خيام ، 50متر مانده به گلوبندک دست چپ، سراي زدرس</v>
      </c>
      <c r="E459" s="1" t="s">
        <v>1574</v>
      </c>
    </row>
    <row r="460" spans="1:5">
      <c r="A460" s="1" t="s">
        <v>1441</v>
      </c>
      <c r="B460" s="1" t="str">
        <f>"آذربايجان غربي"</f>
        <v>آذربايجان غربي</v>
      </c>
      <c r="C460" s="1" t="str">
        <f>"کريم سوري سالار"</f>
        <v>کريم سوري سالار</v>
      </c>
      <c r="D460" s="1" t="str">
        <f>"مهاباد-خ توانير-روبروي توانير"</f>
        <v>مهاباد-خ توانير-روبروي توانير</v>
      </c>
      <c r="E460" s="1" t="s">
        <v>1574</v>
      </c>
    </row>
    <row r="461" spans="1:5">
      <c r="A461" s="1" t="s">
        <v>1441</v>
      </c>
      <c r="B461" s="1" t="str">
        <f>"تهران"</f>
        <v>تهران</v>
      </c>
      <c r="C461" s="1" t="str">
        <f>"فرزام فر فرزين"</f>
        <v>فرزام فر فرزين</v>
      </c>
      <c r="D461" s="1" t="str">
        <f>"شهرري- خيابان فدائيان اسلام خيابان پل سيمان خ سرگرد محمدي رويه روي بهزيستي پلاک299"</f>
        <v>شهرري- خيابان فدائيان اسلام خيابان پل سيمان خ سرگرد محمدي رويه روي بهزيستي پلاک299</v>
      </c>
      <c r="E461" s="1" t="s">
        <v>1574</v>
      </c>
    </row>
    <row r="462" spans="1:5">
      <c r="A462" s="1" t="s">
        <v>1441</v>
      </c>
      <c r="B462" s="1" t="str">
        <f>"تهران"</f>
        <v>تهران</v>
      </c>
      <c r="C462" s="1" t="str">
        <f>"گوشه علي رضا(جهانگردکبير)"</f>
        <v>گوشه علي رضا(جهانگردکبير)</v>
      </c>
      <c r="D462" s="1" t="str">
        <f>"چهاردانگه ، شهرک صنفي سهند، سوله زرد رنگ، پلاک 1/301، انبار مرکزي جهانگرد کبير"</f>
        <v>چهاردانگه ، شهرک صنفي سهند، سوله زرد رنگ، پلاک 1/301، انبار مرکزي جهانگرد کبير</v>
      </c>
      <c r="E462" s="1" t="s">
        <v>1574</v>
      </c>
    </row>
    <row r="463" spans="1:5">
      <c r="A463" s="1" t="s">
        <v>1441</v>
      </c>
      <c r="B463" s="1" t="str">
        <f>"ساوه"</f>
        <v>ساوه</v>
      </c>
      <c r="C463" s="1" t="str">
        <f>"تجهيزات ساختماني شايسته"</f>
        <v>تجهيزات ساختماني شايسته</v>
      </c>
      <c r="D463" s="1" t="str">
        <f>" پيک- بلوار امام خميني"</f>
        <v xml:space="preserve"> پيک- بلوار امام خميني</v>
      </c>
      <c r="E463" s="1" t="s">
        <v>1574</v>
      </c>
    </row>
    <row r="464" spans="1:5">
      <c r="A464" s="1" t="s">
        <v>1441</v>
      </c>
      <c r="B464" s="1" t="str">
        <f>"بهبهان"</f>
        <v>بهبهان</v>
      </c>
      <c r="C464" s="1" t="str">
        <f>"درخشنده هدايت اله"</f>
        <v>درخشنده هدايت اله</v>
      </c>
      <c r="D464" s="1" t="str">
        <f>"خيابان امام حسين ، نرسيده به امام زاده فضل"</f>
        <v>خيابان امام حسين ، نرسيده به امام زاده فضل</v>
      </c>
      <c r="E464" s="1" t="s">
        <v>1574</v>
      </c>
    </row>
    <row r="465" spans="1:5">
      <c r="A465" s="1" t="s">
        <v>1441</v>
      </c>
      <c r="B465" s="1" t="str">
        <f>"مسجد سليمان"</f>
        <v>مسجد سليمان</v>
      </c>
      <c r="C465" s="1" t="str">
        <f>"رضايي علي"</f>
        <v>رضايي علي</v>
      </c>
      <c r="D465" s="1" t="str">
        <f>"نمره يک-جنب بانک ملي فروشگاه ويلا"</f>
        <v>نمره يک-جنب بانک ملي فروشگاه ويلا</v>
      </c>
      <c r="E465" s="1" t="s">
        <v>1574</v>
      </c>
    </row>
    <row r="466" spans="1:5">
      <c r="A466" s="1" t="s">
        <v>1441</v>
      </c>
      <c r="B466" s="1" t="str">
        <f>"اردبيل"</f>
        <v>اردبيل</v>
      </c>
      <c r="C466" s="1" t="str">
        <f>"سعادتي صفر"</f>
        <v>سعادتي صفر</v>
      </c>
      <c r="D466" s="1" t="str">
        <f>"مشکين شهر-ميدان جانبازان"</f>
        <v>مشکين شهر-ميدان جانبازان</v>
      </c>
      <c r="E466" s="1" t="s">
        <v>1574</v>
      </c>
    </row>
    <row r="467" spans="1:5">
      <c r="A467" s="1" t="s">
        <v>1441</v>
      </c>
      <c r="B467" s="1" t="str">
        <f>"تهران"</f>
        <v>تهران</v>
      </c>
      <c r="C467" s="1" t="str">
        <f>"کشاورز فرامرز"</f>
        <v>کشاورز فرامرز</v>
      </c>
      <c r="D467" s="1" t="str">
        <f>"ميدان انقلاب-خيابان فروردين-نرسيده به لبافي نژاد-نبش کوچه الوندي-پلاک195"</f>
        <v>ميدان انقلاب-خيابان فروردين-نرسيده به لبافي نژاد-نبش کوچه الوندي-پلاک195</v>
      </c>
      <c r="E467" s="1" t="s">
        <v>1574</v>
      </c>
    </row>
    <row r="468" spans="1:5">
      <c r="A468" s="1" t="s">
        <v>1441</v>
      </c>
      <c r="B468" s="1" t="str">
        <f>"تهران"</f>
        <v>تهران</v>
      </c>
      <c r="C468" s="1" t="str">
        <f>"صمدي افشين"</f>
        <v>صمدي افشين</v>
      </c>
      <c r="D468" s="1" t="str">
        <f>"تهران"</f>
        <v>تهران</v>
      </c>
      <c r="E468" s="1" t="s">
        <v>1574</v>
      </c>
    </row>
    <row r="469" spans="1:5">
      <c r="A469" s="1" t="s">
        <v>1441</v>
      </c>
      <c r="B469" s="1" t="str">
        <f>"تهران"</f>
        <v>تهران</v>
      </c>
      <c r="C469" s="1" t="str">
        <f>"ابطحي شهاب"</f>
        <v>ابطحي شهاب</v>
      </c>
      <c r="D469" s="1" t="str">
        <f>"تهرانسر - خيابان نيلوفر غربي پلاک  180/1"</f>
        <v>تهرانسر - خيابان نيلوفر غربي پلاک  180/1</v>
      </c>
      <c r="E469" s="1" t="s">
        <v>1574</v>
      </c>
    </row>
    <row r="470" spans="1:5">
      <c r="A470" s="1" t="s">
        <v>1441</v>
      </c>
      <c r="B470" s="1" t="str">
        <f>"شيراز"</f>
        <v>شيراز</v>
      </c>
      <c r="C470" s="1" t="str">
        <f>"پرويزي عباس"</f>
        <v>پرويزي عباس</v>
      </c>
      <c r="D470" s="1" t="str">
        <f>"بلوار باهنر شمالي روبروي پارک قوري حدفاصل کوچه 4 و 6"</f>
        <v>بلوار باهنر شمالي روبروي پارک قوري حدفاصل کوچه 4 و 6</v>
      </c>
      <c r="E470" s="1" t="s">
        <v>1574</v>
      </c>
    </row>
    <row r="471" spans="1:5">
      <c r="A471" s="1" t="s">
        <v>1441</v>
      </c>
      <c r="B471" s="1" t="str">
        <f t="shared" ref="B471:B498" si="0">"تهران"</f>
        <v>تهران</v>
      </c>
      <c r="C471" s="1" t="str">
        <f>"باقري سلطان آباد مهدي"</f>
        <v>باقري سلطان آباد مهدي</v>
      </c>
      <c r="D471" s="1" t="str">
        <f>"شهرکت صنعتي چهاردانگه ، خيابان 23، خيابان پژواک، پلاک 7"</f>
        <v>شهرکت صنعتي چهاردانگه ، خيابان 23، خيابان پژواک، پلاک 7</v>
      </c>
      <c r="E471" s="1" t="s">
        <v>1574</v>
      </c>
    </row>
    <row r="472" spans="1:5">
      <c r="A472" s="1" t="s">
        <v>1441</v>
      </c>
      <c r="B472" s="1" t="str">
        <f t="shared" si="0"/>
        <v>تهران</v>
      </c>
      <c r="C472" s="1" t="str">
        <f>"کلهر حسين"</f>
        <v>کلهر حسين</v>
      </c>
      <c r="D472" s="1" t="str">
        <f>"يافت آباد، ميدان الغدير،خيابان شهيد مرتضي زنديه ، پلاک 51"</f>
        <v>يافت آباد، ميدان الغدير،خيابان شهيد مرتضي زنديه ، پلاک 51</v>
      </c>
      <c r="E472" s="1" t="s">
        <v>1574</v>
      </c>
    </row>
    <row r="473" spans="1:5">
      <c r="A473" s="1" t="s">
        <v>1441</v>
      </c>
      <c r="B473" s="1" t="str">
        <f t="shared" si="0"/>
        <v>تهران</v>
      </c>
      <c r="C473" s="1" t="str">
        <f>"صادقي عليرضا"</f>
        <v>صادقي عليرضا</v>
      </c>
      <c r="D473" s="1" t="str">
        <f>"گلوبندک، خيابان خيام، جنب بانک گردشگري، پلاک 843"</f>
        <v>گلوبندک، خيابان خيام، جنب بانک گردشگري، پلاک 843</v>
      </c>
      <c r="E473" s="1" t="s">
        <v>1574</v>
      </c>
    </row>
    <row r="474" spans="1:5">
      <c r="A474" s="1" t="s">
        <v>1441</v>
      </c>
      <c r="B474" s="1" t="str">
        <f t="shared" si="0"/>
        <v>تهران</v>
      </c>
      <c r="C474" s="1" t="str">
        <f>"فکري محمد"</f>
        <v>فکري محمد</v>
      </c>
      <c r="D474" s="1" t="str">
        <f>"قم ، 45 متري صدوق ، نبش 30 متري آستانه (دکتر جهانبيني)"</f>
        <v>قم ، 45 متري صدوق ، نبش 30 متري آستانه (دکتر جهانبيني)</v>
      </c>
      <c r="E474" s="1" t="s">
        <v>1574</v>
      </c>
    </row>
    <row r="475" spans="1:5">
      <c r="A475" s="1" t="s">
        <v>1441</v>
      </c>
      <c r="B475" s="1" t="str">
        <f t="shared" si="0"/>
        <v>تهران</v>
      </c>
      <c r="C475" s="1" t="str">
        <f>"عبادي مسلم"</f>
        <v>عبادي مسلم</v>
      </c>
      <c r="D475" s="1" t="str">
        <f>"خ فرهنگ"</f>
        <v>خ فرهنگ</v>
      </c>
      <c r="E475" s="1" t="s">
        <v>1574</v>
      </c>
    </row>
    <row r="476" spans="1:5">
      <c r="A476" s="1" t="s">
        <v>1441</v>
      </c>
      <c r="B476" s="1" t="str">
        <f t="shared" si="0"/>
        <v>تهران</v>
      </c>
      <c r="C476" s="1" t="str">
        <f>"جليلي بهروز"</f>
        <v>جليلي بهروز</v>
      </c>
      <c r="D476" s="1" t="str">
        <f>"خيابان امام - چهارراه ژاندارمري - روبروي بانک سپه"</f>
        <v>خيابان امام - چهارراه ژاندارمري - روبروي بانک سپه</v>
      </c>
      <c r="E476" s="1" t="s">
        <v>1574</v>
      </c>
    </row>
    <row r="477" spans="1:5">
      <c r="A477" s="1" t="s">
        <v>1441</v>
      </c>
      <c r="B477" s="1" t="str">
        <f t="shared" si="0"/>
        <v>تهران</v>
      </c>
      <c r="C477" s="1" t="str">
        <f>"قرباني اردوان"</f>
        <v>قرباني اردوان</v>
      </c>
      <c r="D477" s="1" t="str">
        <f>"زيتون کارمندي"</f>
        <v>زيتون کارمندي</v>
      </c>
      <c r="E477" s="1" t="s">
        <v>1574</v>
      </c>
    </row>
    <row r="478" spans="1:5">
      <c r="A478" s="1" t="s">
        <v>1441</v>
      </c>
      <c r="B478" s="1" t="str">
        <f t="shared" si="0"/>
        <v>تهران</v>
      </c>
      <c r="C478" s="1" t="str">
        <f>"شهبازي حسن"</f>
        <v>شهبازي حسن</v>
      </c>
      <c r="D478" s="1" t="str">
        <f>"خ امام شرقي"</f>
        <v>خ امام شرقي</v>
      </c>
      <c r="E478" s="1" t="s">
        <v>1574</v>
      </c>
    </row>
    <row r="479" spans="1:5">
      <c r="A479" s="1" t="s">
        <v>1441</v>
      </c>
      <c r="B479" s="1" t="str">
        <f t="shared" si="0"/>
        <v>تهران</v>
      </c>
      <c r="C479" s="1" t="str">
        <f>"بنامبارکي امين"</f>
        <v>بنامبارکي امين</v>
      </c>
      <c r="D479" s="1" t="str">
        <f>"اتوبان بهبهاني"</f>
        <v>اتوبان بهبهاني</v>
      </c>
      <c r="E479" s="1" t="s">
        <v>1574</v>
      </c>
    </row>
    <row r="480" spans="1:5">
      <c r="A480" s="1" t="s">
        <v>1441</v>
      </c>
      <c r="B480" s="1" t="str">
        <f t="shared" si="0"/>
        <v>تهران</v>
      </c>
      <c r="C480" s="1" t="str">
        <f>"فهديان هاشم"</f>
        <v>فهديان هاشم</v>
      </c>
      <c r="D480" s="1" t="str">
        <f>"احمد آبادا هفت اصلي هفت فرعي"</f>
        <v>احمد آبادا هفت اصلي هفت فرعي</v>
      </c>
      <c r="E480" s="1" t="s">
        <v>1574</v>
      </c>
    </row>
    <row r="481" spans="1:5">
      <c r="A481" s="1" t="s">
        <v>1441</v>
      </c>
      <c r="B481" s="1" t="str">
        <f t="shared" si="0"/>
        <v>تهران</v>
      </c>
      <c r="C481" s="1" t="str">
        <f>"الرفعي ارفع"</f>
        <v>الرفعي ارفع</v>
      </c>
      <c r="D481" s="1" t="str">
        <f>"دولت اباد خيابان طالقاني"</f>
        <v>دولت اباد خيابان طالقاني</v>
      </c>
      <c r="E481" s="1" t="s">
        <v>1574</v>
      </c>
    </row>
    <row r="482" spans="1:5">
      <c r="A482" s="1" t="s">
        <v>1441</v>
      </c>
      <c r="B482" s="1" t="str">
        <f t="shared" si="0"/>
        <v>تهران</v>
      </c>
      <c r="C482" s="1" t="str">
        <f>"احتشام زاده علي"</f>
        <v>احتشام زاده علي</v>
      </c>
      <c r="D482" s="1" t="str">
        <f>"اهواز: خيابان انقلاب"</f>
        <v>اهواز: خيابان انقلاب</v>
      </c>
      <c r="E482" s="1" t="s">
        <v>1574</v>
      </c>
    </row>
    <row r="483" spans="1:5">
      <c r="A483" s="1" t="s">
        <v>1441</v>
      </c>
      <c r="B483" s="1" t="str">
        <f t="shared" si="0"/>
        <v>تهران</v>
      </c>
      <c r="C483" s="1" t="str">
        <f>"ناوک پور محمد"</f>
        <v>ناوک پور محمد</v>
      </c>
      <c r="D483" s="1" t="str">
        <f>"اهواز: خيابان انقلاب"</f>
        <v>اهواز: خيابان انقلاب</v>
      </c>
      <c r="E483" s="1" t="s">
        <v>1574</v>
      </c>
    </row>
    <row r="484" spans="1:5">
      <c r="A484" s="1" t="s">
        <v>1441</v>
      </c>
      <c r="B484" s="1" t="str">
        <f t="shared" si="0"/>
        <v>تهران</v>
      </c>
      <c r="C484" s="1" t="str">
        <f>"شيرمحمدي موسي"</f>
        <v>شيرمحمدي موسي</v>
      </c>
      <c r="D484" s="1" t="str">
        <f>"مشهد - بلوار توس- توس 87 - پلاک 1"</f>
        <v>مشهد - بلوار توس- توس 87 - پلاک 1</v>
      </c>
      <c r="E484" s="1" t="s">
        <v>1574</v>
      </c>
    </row>
    <row r="485" spans="1:5">
      <c r="A485" s="1" t="s">
        <v>1441</v>
      </c>
      <c r="B485" s="1" t="str">
        <f t="shared" si="0"/>
        <v>تهران</v>
      </c>
      <c r="C485" s="1" t="str">
        <f>"صيادي هنرور حسن"</f>
        <v>صيادي هنرور حسن</v>
      </c>
      <c r="D485" s="1" t="str">
        <f>"خيابان رزمندگان"</f>
        <v>خيابان رزمندگان</v>
      </c>
      <c r="E485" s="1" t="s">
        <v>1574</v>
      </c>
    </row>
    <row r="486" spans="1:5">
      <c r="A486" s="1" t="s">
        <v>1441</v>
      </c>
      <c r="B486" s="1" t="str">
        <f t="shared" si="0"/>
        <v>تهران</v>
      </c>
      <c r="C486" s="1" t="str">
        <f>"کريمي نويد"</f>
        <v>کريمي نويد</v>
      </c>
      <c r="D486" s="1" t="str">
        <f>"اهواز-باربري جاويد ترابر"</f>
        <v>اهواز-باربري جاويد ترابر</v>
      </c>
      <c r="E486" s="1" t="s">
        <v>1574</v>
      </c>
    </row>
    <row r="487" spans="1:5">
      <c r="A487" s="1" t="s">
        <v>1441</v>
      </c>
      <c r="B487" s="1" t="str">
        <f t="shared" si="0"/>
        <v>تهران</v>
      </c>
      <c r="C487" s="1" t="str">
        <f>"منصوري احمد"</f>
        <v>منصوري احمد</v>
      </c>
      <c r="D487" s="1" t="str">
        <f>"ماهشهر: تقاطع ابوذر"</f>
        <v>ماهشهر: تقاطع ابوذر</v>
      </c>
      <c r="E487" s="1" t="s">
        <v>1574</v>
      </c>
    </row>
    <row r="488" spans="1:5">
      <c r="A488" s="1" t="s">
        <v>1441</v>
      </c>
      <c r="B488" s="1" t="str">
        <f t="shared" si="0"/>
        <v>تهران</v>
      </c>
      <c r="C488" s="1" t="str">
        <f>"اسدالله زاده الياس"</f>
        <v>اسدالله زاده الياس</v>
      </c>
      <c r="D488" s="1" t="str">
        <f>"تربت جام - والفجر 6 - پلاک 119"</f>
        <v>تربت جام - والفجر 6 - پلاک 119</v>
      </c>
      <c r="E488" s="1" t="s">
        <v>1574</v>
      </c>
    </row>
    <row r="489" spans="1:5">
      <c r="A489" s="1" t="s">
        <v>1441</v>
      </c>
      <c r="B489" s="1" t="str">
        <f t="shared" si="0"/>
        <v>تهران</v>
      </c>
      <c r="C489" s="1" t="str">
        <f>"جديدالاسلامي محمد مهدي"</f>
        <v>جديدالاسلامي محمد مهدي</v>
      </c>
      <c r="D489" s="1" t="str">
        <f>"پيروزي 47 - پلاک 45"</f>
        <v>پيروزي 47 - پلاک 45</v>
      </c>
      <c r="E489" s="1" t="s">
        <v>1574</v>
      </c>
    </row>
    <row r="490" spans="1:5">
      <c r="A490" s="1" t="s">
        <v>1441</v>
      </c>
      <c r="B490" s="1" t="str">
        <f t="shared" si="0"/>
        <v>تهران</v>
      </c>
      <c r="C490" s="1" t="str">
        <f>"مهربان طاهره"</f>
        <v>مهربان طاهره</v>
      </c>
      <c r="D490" s="1" t="str">
        <f>"سرافرازان 51 - پلاک 29"</f>
        <v>سرافرازان 51 - پلاک 29</v>
      </c>
      <c r="E490" s="1" t="s">
        <v>1574</v>
      </c>
    </row>
    <row r="491" spans="1:5">
      <c r="A491" s="1" t="s">
        <v>1441</v>
      </c>
      <c r="B491" s="1" t="str">
        <f t="shared" si="0"/>
        <v>تهران</v>
      </c>
      <c r="C491" s="1" t="str">
        <f>"اميري اعظم"</f>
        <v>اميري اعظم</v>
      </c>
      <c r="D491" s="1" t="str">
        <f>"بلوار معلم - بين معلم 35 و 37"</f>
        <v>بلوار معلم - بين معلم 35 و 37</v>
      </c>
      <c r="E491" s="1" t="s">
        <v>1574</v>
      </c>
    </row>
    <row r="492" spans="1:5">
      <c r="A492" s="1" t="s">
        <v>1441</v>
      </c>
      <c r="B492" s="1" t="str">
        <f t="shared" si="0"/>
        <v>تهران</v>
      </c>
      <c r="C492" s="1" t="str">
        <f>"هريوندي حجت"</f>
        <v>هريوندي حجت</v>
      </c>
      <c r="D492" s="1" t="str">
        <f>"خيابان مطهري"</f>
        <v>خيابان مطهري</v>
      </c>
      <c r="E492" s="1" t="s">
        <v>1574</v>
      </c>
    </row>
    <row r="493" spans="1:5">
      <c r="A493" s="1" t="s">
        <v>1441</v>
      </c>
      <c r="B493" s="1" t="str">
        <f t="shared" si="0"/>
        <v>تهران</v>
      </c>
      <c r="C493" s="1" t="str">
        <f>"دابويه سميرا"</f>
        <v>دابويه سميرا</v>
      </c>
      <c r="D493" s="1" t="str">
        <f>"ميدان شهدا"</f>
        <v>ميدان شهدا</v>
      </c>
      <c r="E493" s="1" t="s">
        <v>1574</v>
      </c>
    </row>
    <row r="494" spans="1:5">
      <c r="A494" s="1" t="s">
        <v>1441</v>
      </c>
      <c r="B494" s="1" t="str">
        <f t="shared" si="0"/>
        <v>تهران</v>
      </c>
      <c r="C494" s="1" t="str">
        <f>"رحمتي حسن"</f>
        <v>رحمتي حسن</v>
      </c>
      <c r="D494" s="1" t="str">
        <f>"سمزقند - فاطمه 16 - پلاک 8"</f>
        <v>سمزقند - فاطمه 16 - پلاک 8</v>
      </c>
      <c r="E494" s="1" t="s">
        <v>1574</v>
      </c>
    </row>
    <row r="495" spans="1:5">
      <c r="A495" s="1" t="s">
        <v>1441</v>
      </c>
      <c r="B495" s="1" t="str">
        <f t="shared" si="0"/>
        <v>تهران</v>
      </c>
      <c r="C495" s="1" t="str">
        <f>"رجبي مهدي"</f>
        <v>رجبي مهدي</v>
      </c>
      <c r="D495" s="1" t="str">
        <f>"قرني 19 - پلاک 19"</f>
        <v>قرني 19 - پلاک 19</v>
      </c>
      <c r="E495" s="1" t="s">
        <v>1574</v>
      </c>
    </row>
    <row r="496" spans="1:5">
      <c r="A496" s="1" t="s">
        <v>1441</v>
      </c>
      <c r="B496" s="1" t="str">
        <f t="shared" si="0"/>
        <v>تهران</v>
      </c>
      <c r="C496" s="1" t="str">
        <f>"ظفر مکاييل"</f>
        <v>ظفر مکاييل</v>
      </c>
      <c r="D496" s="1" t="str">
        <f>"27آق قلا- خيابان خرمشهر- نبش دژ"</f>
        <v>27آق قلا- خيابان خرمشهر- نبش دژ</v>
      </c>
      <c r="E496" s="1" t="s">
        <v>1574</v>
      </c>
    </row>
    <row r="497" spans="1:5">
      <c r="A497" s="1" t="s">
        <v>1441</v>
      </c>
      <c r="B497" s="1" t="str">
        <f t="shared" si="0"/>
        <v>تهران</v>
      </c>
      <c r="C497" s="1" t="str">
        <f>"قاسمي سپرو فرناز"</f>
        <v>قاسمي سپرو فرناز</v>
      </c>
      <c r="D497" s="1" t="str">
        <f>"سايت خاوران  خ ميخک پ 2208"</f>
        <v>سايت خاوران  خ ميخک پ 2208</v>
      </c>
      <c r="E497" s="1" t="s">
        <v>1574</v>
      </c>
    </row>
    <row r="498" spans="1:5">
      <c r="A498" s="1" t="s">
        <v>1441</v>
      </c>
      <c r="B498" s="1" t="str">
        <f t="shared" si="0"/>
        <v>تهران</v>
      </c>
      <c r="C498" s="1" t="str">
        <f>"عليزاده احسان"</f>
        <v>عليزاده احسان</v>
      </c>
      <c r="D498" s="1" t="str">
        <f>"معلم 75 - پلاک 9"</f>
        <v>معلم 75 - پلاک 9</v>
      </c>
      <c r="E498" s="1" t="s">
        <v>1574</v>
      </c>
    </row>
    <row r="499" spans="1:5">
      <c r="A499" s="1" t="s">
        <v>1441</v>
      </c>
      <c r="B499" s="1" t="str">
        <f>"همدان"</f>
        <v>همدان</v>
      </c>
      <c r="C499" s="1" t="str">
        <f>"محمدي نادر"</f>
        <v>محمدي نادر</v>
      </c>
      <c r="D499" s="1" t="str">
        <f>"بلوار امام خميني،بالاتر از شهرداري،جنب بانک مسکن،فروشگاه نادر"</f>
        <v>بلوار امام خميني،بالاتر از شهرداري،جنب بانک مسکن،فروشگاه نادر</v>
      </c>
      <c r="E499" s="1" t="s">
        <v>1574</v>
      </c>
    </row>
    <row r="500" spans="1:5">
      <c r="A500" s="1" t="s">
        <v>1441</v>
      </c>
      <c r="B500" s="1" t="str">
        <f t="shared" ref="B500:B521" si="1">"تهران"</f>
        <v>تهران</v>
      </c>
      <c r="C500" s="1" t="str">
        <f>"احتشام زاده غلامعلي"</f>
        <v>احتشام زاده غلامعلي</v>
      </c>
      <c r="D500" s="1" t="str">
        <f>"اهواز: خيابان انقلاب بين زينب و سروش پلاک 1386"</f>
        <v>اهواز: خيابان انقلاب بين زينب و سروش پلاک 1386</v>
      </c>
      <c r="E500" s="1" t="s">
        <v>1574</v>
      </c>
    </row>
    <row r="501" spans="1:5">
      <c r="A501" s="1" t="s">
        <v>1441</v>
      </c>
      <c r="B501" s="1" t="str">
        <f t="shared" si="1"/>
        <v>تهران</v>
      </c>
      <c r="C501" s="1" t="str">
        <f>"آذر آييني ريحانه"</f>
        <v>آذر آييني ريحانه</v>
      </c>
      <c r="D501" s="1" t="str">
        <f>"يزد بلوار جانباز کوچه محمد جواد پارسايان فروشگاه عيوقي"</f>
        <v>يزد بلوار جانباز کوچه محمد جواد پارسايان فروشگاه عيوقي</v>
      </c>
      <c r="E501" s="1" t="s">
        <v>1574</v>
      </c>
    </row>
    <row r="502" spans="1:5">
      <c r="A502" s="1" t="s">
        <v>1441</v>
      </c>
      <c r="B502" s="1" t="str">
        <f t="shared" si="1"/>
        <v>تهران</v>
      </c>
      <c r="C502" s="1" t="str">
        <f>"شاهنظري  حميد"</f>
        <v>شاهنظري  حميد</v>
      </c>
      <c r="D502" s="1" t="str">
        <f>"شاهين شهر خيايان عطار"</f>
        <v>شاهين شهر خيايان عطار</v>
      </c>
      <c r="E502" s="1" t="s">
        <v>1574</v>
      </c>
    </row>
    <row r="503" spans="1:5">
      <c r="A503" s="1" t="s">
        <v>1441</v>
      </c>
      <c r="B503" s="1" t="str">
        <f t="shared" si="1"/>
        <v>تهران</v>
      </c>
      <c r="C503" s="1" t="str">
        <f>"لايامي عبدالحسين"</f>
        <v>لايامي عبدالحسين</v>
      </c>
      <c r="D503" s="1" t="str">
        <f>"ماهشهر: خيابان امام بعد از بانک سپه مجتمع تجاري مرواريد جنوب"</f>
        <v>ماهشهر: خيابان امام بعد از بانک سپه مجتمع تجاري مرواريد جنوب</v>
      </c>
      <c r="E503" s="1" t="s">
        <v>1574</v>
      </c>
    </row>
    <row r="504" spans="1:5">
      <c r="A504" s="1" t="s">
        <v>1441</v>
      </c>
      <c r="B504" s="1" t="str">
        <f t="shared" si="1"/>
        <v>تهران</v>
      </c>
      <c r="C504" s="1" t="str">
        <f>"شاهنگي خانم"</f>
        <v>شاهنگي خانم</v>
      </c>
      <c r="D504" s="1" t="str">
        <f>"خيابان مدرس بعد از چهاراه بابلدشت بعد از کوچه 16"</f>
        <v>خيابان مدرس بعد از چهاراه بابلدشت بعد از کوچه 16</v>
      </c>
      <c r="E504" s="1" t="s">
        <v>1574</v>
      </c>
    </row>
    <row r="505" spans="1:5">
      <c r="A505" s="1" t="s">
        <v>1441</v>
      </c>
      <c r="B505" s="1" t="str">
        <f t="shared" si="1"/>
        <v>تهران</v>
      </c>
      <c r="C505" s="1" t="str">
        <f>"ميرزاييان متين"</f>
        <v>ميرزاييان متين</v>
      </c>
      <c r="D505" s="1" t="str">
        <f>"بروجن خيابان طالقاني"</f>
        <v>بروجن خيابان طالقاني</v>
      </c>
      <c r="E505" s="1" t="s">
        <v>1574</v>
      </c>
    </row>
    <row r="506" spans="1:5">
      <c r="A506" s="1" t="s">
        <v>1441</v>
      </c>
      <c r="B506" s="1" t="str">
        <f t="shared" si="1"/>
        <v>تهران</v>
      </c>
      <c r="C506" s="1" t="str">
        <f>"چهکندي نژاد حميد"</f>
        <v>چهکندي نژاد حميد</v>
      </c>
      <c r="D506" s="1" t="str">
        <f>"خ مدرس. 20 متري دوم غربي"</f>
        <v>خ مدرس. 20 متري دوم غربي</v>
      </c>
      <c r="E506" s="1" t="s">
        <v>1574</v>
      </c>
    </row>
    <row r="507" spans="1:5">
      <c r="A507" s="1" t="s">
        <v>1441</v>
      </c>
      <c r="B507" s="1" t="str">
        <f t="shared" si="1"/>
        <v>تهران</v>
      </c>
      <c r="C507" s="1" t="str">
        <f>"حسيني رسول"</f>
        <v>حسيني رسول</v>
      </c>
      <c r="D507" s="1" t="str">
        <f>"طالقاني 19"</f>
        <v>طالقاني 19</v>
      </c>
      <c r="E507" s="1" t="s">
        <v>1574</v>
      </c>
    </row>
    <row r="508" spans="1:5">
      <c r="A508" s="1" t="s">
        <v>1441</v>
      </c>
      <c r="B508" s="1" t="str">
        <f t="shared" si="1"/>
        <v>تهران</v>
      </c>
      <c r="C508" s="1" t="str">
        <f>"طاهري حبيب"</f>
        <v>طاهري حبيب</v>
      </c>
      <c r="D508" s="1" t="str">
        <f>"آموزگار 36 کالاي ناب"</f>
        <v>آموزگار 36 کالاي ناب</v>
      </c>
      <c r="E508" s="1" t="s">
        <v>1574</v>
      </c>
    </row>
    <row r="509" spans="1:5">
      <c r="A509" s="1" t="s">
        <v>1441</v>
      </c>
      <c r="B509" s="1" t="str">
        <f t="shared" si="1"/>
        <v>تهران</v>
      </c>
      <c r="C509" s="1" t="str">
        <f>"جهانيان اکبر"</f>
        <v>جهانيان اکبر</v>
      </c>
      <c r="D509" s="1" t="str">
        <f>"کرج - جاده ملارد بعد از ايستگاه مترو بعد از سه راه سرحد آباد ابتداي پل هوايي شهيد کلانتري"</f>
        <v>کرج - جاده ملارد بعد از ايستگاه مترو بعد از سه راه سرحد آباد ابتداي پل هوايي شهيد کلانتري</v>
      </c>
      <c r="E509" s="1" t="s">
        <v>1574</v>
      </c>
    </row>
    <row r="510" spans="1:5">
      <c r="A510" s="1" t="s">
        <v>1441</v>
      </c>
      <c r="B510" s="1" t="str">
        <f t="shared" si="1"/>
        <v>تهران</v>
      </c>
      <c r="C510" s="1" t="str">
        <f>"شهبازي محمدابراهيم"</f>
        <v>شهبازي محمدابراهيم</v>
      </c>
      <c r="D510" s="1" t="str">
        <f>"شهرري خ فداييان اسلام 35 متري امام حسين"</f>
        <v>شهرري خ فداييان اسلام 35 متري امام حسين</v>
      </c>
      <c r="E510" s="1" t="s">
        <v>1574</v>
      </c>
    </row>
    <row r="511" spans="1:5">
      <c r="A511" s="1" t="s">
        <v>1441</v>
      </c>
      <c r="B511" s="1" t="str">
        <f t="shared" si="1"/>
        <v>تهران</v>
      </c>
      <c r="C511" s="1" t="str">
        <f>"علي پور سيامک"</f>
        <v>علي پور سيامک</v>
      </c>
      <c r="D511" s="1" t="str">
        <f>"نور دور ميدان کارگر"</f>
        <v>نور دور ميدان کارگر</v>
      </c>
      <c r="E511" s="1" t="s">
        <v>1574</v>
      </c>
    </row>
    <row r="512" spans="1:5">
      <c r="A512" s="1" t="s">
        <v>1441</v>
      </c>
      <c r="B512" s="1" t="str">
        <f t="shared" si="1"/>
        <v>تهران</v>
      </c>
      <c r="C512" s="1" t="str">
        <f>"دهقاني تفتي محمد جواد"</f>
        <v>دهقاني تفتي محمد جواد</v>
      </c>
      <c r="D512" s="1" t="str">
        <f>"امامت 33 - پلاک 25"</f>
        <v>امامت 33 - پلاک 25</v>
      </c>
      <c r="E512" s="1" t="s">
        <v>1574</v>
      </c>
    </row>
    <row r="513" spans="1:5">
      <c r="A513" s="1" t="s">
        <v>1441</v>
      </c>
      <c r="B513" s="1" t="str">
        <f t="shared" si="1"/>
        <v>تهران</v>
      </c>
      <c r="C513" s="1" t="str">
        <f>"نوربخش مهدي"</f>
        <v>نوربخش مهدي</v>
      </c>
      <c r="D513" s="1" t="str">
        <f>"نبش هنرستان 36"</f>
        <v>نبش هنرستان 36</v>
      </c>
      <c r="E513" s="1" t="s">
        <v>1574</v>
      </c>
    </row>
    <row r="514" spans="1:5">
      <c r="A514" s="1" t="s">
        <v>1441</v>
      </c>
      <c r="B514" s="1" t="str">
        <f t="shared" si="1"/>
        <v>تهران</v>
      </c>
      <c r="C514" s="1" t="str">
        <f>"علمدار حسين"</f>
        <v>علمدار حسين</v>
      </c>
      <c r="D514" s="1" t="str">
        <f>"فلاحي 92 پ562"</f>
        <v>فلاحي 92 پ562</v>
      </c>
      <c r="E514" s="1" t="s">
        <v>1574</v>
      </c>
    </row>
    <row r="515" spans="1:5">
      <c r="A515" s="1" t="s">
        <v>1441</v>
      </c>
      <c r="B515" s="1" t="str">
        <f t="shared" si="1"/>
        <v>تهران</v>
      </c>
      <c r="C515" s="1" t="str">
        <f>"مقدسيان علي"</f>
        <v>مقدسيان علي</v>
      </c>
      <c r="D515" s="1" t="str">
        <f>"شريعتي 18 - پلاک 11"</f>
        <v>شريعتي 18 - پلاک 11</v>
      </c>
      <c r="E515" s="1" t="s">
        <v>1574</v>
      </c>
    </row>
    <row r="516" spans="1:5">
      <c r="A516" s="1" t="s">
        <v>1441</v>
      </c>
      <c r="B516" s="1" t="str">
        <f t="shared" si="1"/>
        <v>تهران</v>
      </c>
      <c r="C516" s="1" t="str">
        <f>"قنبري سعيد"</f>
        <v>قنبري سعيد</v>
      </c>
      <c r="D516" s="1" t="str">
        <f>"آلوني جنب پمپ بنزين"</f>
        <v>آلوني جنب پمپ بنزين</v>
      </c>
      <c r="E516" s="1" t="s">
        <v>1574</v>
      </c>
    </row>
    <row r="517" spans="1:5">
      <c r="A517" s="1" t="s">
        <v>1441</v>
      </c>
      <c r="B517" s="1" t="str">
        <f t="shared" si="1"/>
        <v>تهران</v>
      </c>
      <c r="C517" s="1" t="str">
        <f>"هاشمي پور حميد رضا"</f>
        <v>هاشمي پور حميد رضا</v>
      </c>
      <c r="D517" s="1" t="str">
        <f>"بندرعباس ، بلوارامام حسين ، جنب پمپ بنزين"</f>
        <v>بندرعباس ، بلوارامام حسين ، جنب پمپ بنزين</v>
      </c>
      <c r="E517" s="1" t="s">
        <v>1574</v>
      </c>
    </row>
    <row r="518" spans="1:5">
      <c r="A518" s="1" t="s">
        <v>1441</v>
      </c>
      <c r="B518" s="1" t="str">
        <f t="shared" si="1"/>
        <v>تهران</v>
      </c>
      <c r="C518" s="1" t="str">
        <f>"سعيدي نيک عباس"</f>
        <v>سعيدي نيک عباس</v>
      </c>
      <c r="D518" s="1" t="str">
        <f>"خ دانشجو 18 - پلاک 91"</f>
        <v>خ دانشجو 18 - پلاک 91</v>
      </c>
      <c r="E518" s="1" t="s">
        <v>1574</v>
      </c>
    </row>
    <row r="519" spans="1:5">
      <c r="A519" s="1" t="s">
        <v>1441</v>
      </c>
      <c r="B519" s="1" t="str">
        <f t="shared" si="1"/>
        <v>تهران</v>
      </c>
      <c r="C519" s="1" t="str">
        <f>"محقق احمد"</f>
        <v>محقق احمد</v>
      </c>
      <c r="D519" s="1" t="str">
        <f>"خ آخوند خراساني 44 پلاک 11"</f>
        <v>خ آخوند خراساني 44 پلاک 11</v>
      </c>
      <c r="E519" s="1" t="s">
        <v>1574</v>
      </c>
    </row>
    <row r="520" spans="1:5">
      <c r="A520" s="1" t="s">
        <v>1441</v>
      </c>
      <c r="B520" s="1" t="str">
        <f t="shared" si="1"/>
        <v>تهران</v>
      </c>
      <c r="C520" s="1" t="str">
        <f>" عباسيان ميثم"</f>
        <v xml:space="preserve"> عباسيان ميثم</v>
      </c>
      <c r="D520" s="1" t="str">
        <f>"خورزوق ، اول بلوار جانبازان"</f>
        <v>خورزوق ، اول بلوار جانبازان</v>
      </c>
      <c r="E520" s="1" t="s">
        <v>1574</v>
      </c>
    </row>
    <row r="521" spans="1:5">
      <c r="A521" s="1" t="s">
        <v>1441</v>
      </c>
      <c r="B521" s="1" t="str">
        <f t="shared" si="1"/>
        <v>تهران</v>
      </c>
      <c r="C521" s="1" t="str">
        <f>"بيرجندي حسين فريبرز"</f>
        <v>بيرجندي حسين فريبرز</v>
      </c>
      <c r="D521" s="1" t="str">
        <f>" خ مزاري-بين کوچه 5و3"</f>
        <v xml:space="preserve"> خ مزاري-بين کوچه 5و3</v>
      </c>
      <c r="E521" s="1" t="s">
        <v>1574</v>
      </c>
    </row>
    <row r="522" spans="1:5">
      <c r="A522" s="1" t="s">
        <v>1441</v>
      </c>
      <c r="B522" s="1" t="str">
        <f>"نجف آباد"</f>
        <v>نجف آباد</v>
      </c>
      <c r="C522" s="1" t="str">
        <f>"پارياو مجيد"</f>
        <v>پارياو مجيد</v>
      </c>
      <c r="D522" s="1" t="str">
        <f>"خيابان شريعتي، روبروي خيابان بهمن، جنب بانک مهر اقتصاد"</f>
        <v>خيابان شريعتي، روبروي خيابان بهمن، جنب بانک مهر اقتصاد</v>
      </c>
      <c r="E522" s="1" t="s">
        <v>1574</v>
      </c>
    </row>
    <row r="523" spans="1:5">
      <c r="A523" s="1" t="s">
        <v>1441</v>
      </c>
      <c r="B523" s="1" t="str">
        <f>"تهران"</f>
        <v>تهران</v>
      </c>
      <c r="C523" s="1" t="str">
        <f>"ارفعي احمد"</f>
        <v>ارفعي احمد</v>
      </c>
      <c r="D523" s="1" t="str">
        <f>"جنت آباد نبش لاله شرقي پ103"</f>
        <v>جنت آباد نبش لاله شرقي پ103</v>
      </c>
      <c r="E523" s="1" t="s">
        <v>1574</v>
      </c>
    </row>
    <row r="524" spans="1:5">
      <c r="A524" s="1" t="s">
        <v>1441</v>
      </c>
      <c r="B524" s="1" t="str">
        <f>"تهران"</f>
        <v>تهران</v>
      </c>
      <c r="C524" s="1" t="str">
        <f>"اسدي نژاد جواد"</f>
        <v>اسدي نژاد جواد</v>
      </c>
      <c r="D524" s="1" t="str">
        <f>"خيابان آيت ا... غفاري-خيابان انوري جنوبي- جنب پست بانک- پلاک 7611"</f>
        <v>خيابان آيت ا... غفاري-خيابان انوري جنوبي- جنب پست بانک- پلاک 7611</v>
      </c>
      <c r="E524" s="1" t="s">
        <v>1574</v>
      </c>
    </row>
    <row r="525" spans="1:5">
      <c r="A525" s="1" t="s">
        <v>1441</v>
      </c>
      <c r="B525" s="1" t="str">
        <f>"تهران"</f>
        <v>تهران</v>
      </c>
      <c r="C525" s="1" t="str">
        <f>"مختاري حميدرضا"</f>
        <v>مختاري حميدرضا</v>
      </c>
      <c r="D525" s="1" t="str">
        <f>"خيابان جمهوري - نبش خيابان 22"</f>
        <v>خيابان جمهوري - نبش خيابان 22</v>
      </c>
      <c r="E525" s="1" t="s">
        <v>1574</v>
      </c>
    </row>
    <row r="526" spans="1:5">
      <c r="A526" s="1" t="s">
        <v>1441</v>
      </c>
      <c r="B526" s="1" t="str">
        <f>"تهران"</f>
        <v>تهران</v>
      </c>
      <c r="C526" s="1" t="str">
        <f>"رضايي اميد"</f>
        <v>رضايي اميد</v>
      </c>
      <c r="D526" s="1" t="str">
        <f>"گلبهار خيابان پرند پرند 6"</f>
        <v>گلبهار خيابان پرند پرند 6</v>
      </c>
      <c r="E526" s="1" t="s">
        <v>1574</v>
      </c>
    </row>
    <row r="527" spans="1:5">
      <c r="A527" s="1" t="s">
        <v>1441</v>
      </c>
      <c r="B527" s="1" t="str">
        <f>"كيش"</f>
        <v>كيش</v>
      </c>
      <c r="C527" s="1" t="str">
        <f>"ايما نقشينه کيش"</f>
        <v>ايما نقشينه کيش</v>
      </c>
      <c r="D527" s="1" t="str">
        <f>"جزيره کيش-بازار ونوس-ط اول-غرفه118"</f>
        <v>جزيره کيش-بازار ونوس-ط اول-غرفه118</v>
      </c>
      <c r="E527" s="1" t="s">
        <v>1574</v>
      </c>
    </row>
    <row r="528" spans="1:5">
      <c r="A528" s="1" t="s">
        <v>1441</v>
      </c>
      <c r="B528" s="1" t="str">
        <f t="shared" ref="B528:B537" si="2">"تهران"</f>
        <v>تهران</v>
      </c>
      <c r="C528" s="1" t="str">
        <f>"نوربخش سيد مرتضي"</f>
        <v>نوربخش سيد مرتضي</v>
      </c>
      <c r="D528" s="1" t="str">
        <f>" محتشمي 3 پلاک 7"</f>
        <v xml:space="preserve"> محتشمي 3 پلاک 7</v>
      </c>
      <c r="E528" s="1" t="s">
        <v>1574</v>
      </c>
    </row>
    <row r="529" spans="1:5">
      <c r="A529" s="1" t="s">
        <v>1441</v>
      </c>
      <c r="B529" s="1" t="str">
        <f t="shared" si="2"/>
        <v>تهران</v>
      </c>
      <c r="C529" s="1" t="str">
        <f>"حشمتي عرفان"</f>
        <v>حشمتي عرفان</v>
      </c>
      <c r="D529" s="1" t="str">
        <f>"حسن آباد بلوار امام خميني ره"</f>
        <v>حسن آباد بلوار امام خميني ره</v>
      </c>
      <c r="E529" s="1" t="s">
        <v>1574</v>
      </c>
    </row>
    <row r="530" spans="1:5">
      <c r="A530" s="1" t="s">
        <v>1441</v>
      </c>
      <c r="B530" s="1" t="str">
        <f t="shared" si="2"/>
        <v>تهران</v>
      </c>
      <c r="C530" s="1" t="str">
        <f>"زيبا مسعود"</f>
        <v>زيبا مسعود</v>
      </c>
      <c r="D530" s="1" t="str">
        <f>"9نواب صفوي"</f>
        <v>9نواب صفوي</v>
      </c>
      <c r="E530" s="1" t="s">
        <v>1574</v>
      </c>
    </row>
    <row r="531" spans="1:5">
      <c r="A531" s="1" t="s">
        <v>1441</v>
      </c>
      <c r="B531" s="1" t="str">
        <f t="shared" si="2"/>
        <v>تهران</v>
      </c>
      <c r="C531" s="1" t="str">
        <f>"پاک محمد"</f>
        <v>پاک محمد</v>
      </c>
      <c r="D531" s="1" t="str">
        <f>" 25شريعتي 70 - نرگس 6 - پلاک"</f>
        <v xml:space="preserve"> 25شريعتي 70 - نرگس 6 - پلاک</v>
      </c>
      <c r="E531" s="1" t="s">
        <v>1574</v>
      </c>
    </row>
    <row r="532" spans="1:5">
      <c r="A532" s="1" t="s">
        <v>1441</v>
      </c>
      <c r="B532" s="1" t="str">
        <f t="shared" si="2"/>
        <v>تهران</v>
      </c>
      <c r="C532" s="1" t="str">
        <f>"احمدي مصطفي"</f>
        <v>احمدي مصطفي</v>
      </c>
      <c r="D532" s="1" t="str">
        <f>" فلاحي 1/2. پلاک 31"</f>
        <v xml:space="preserve"> فلاحي 1/2. پلاک 31</v>
      </c>
      <c r="E532" s="1" t="s">
        <v>1574</v>
      </c>
    </row>
    <row r="533" spans="1:5">
      <c r="A533" s="1" t="s">
        <v>1441</v>
      </c>
      <c r="B533" s="1" t="str">
        <f t="shared" si="2"/>
        <v>تهران</v>
      </c>
      <c r="C533" s="1" t="str">
        <f>"زارعي خوراسگاني مهدي"</f>
        <v>زارعي خوراسگاني مهدي</v>
      </c>
      <c r="D533" s="1" t="str">
        <f>"خيابان شريف واقفي بعد از چهاراه گلزار دست چپ"</f>
        <v>خيابان شريف واقفي بعد از چهاراه گلزار دست چپ</v>
      </c>
      <c r="E533" s="1" t="s">
        <v>1574</v>
      </c>
    </row>
    <row r="534" spans="1:5">
      <c r="A534" s="1" t="s">
        <v>1441</v>
      </c>
      <c r="B534" s="1" t="str">
        <f t="shared" si="2"/>
        <v>تهران</v>
      </c>
      <c r="C534" s="1" t="str">
        <f>"اميني دانيال"</f>
        <v>اميني دانيال</v>
      </c>
      <c r="D534" s="1" t="str">
        <f>" خيابان امام خميني روبروي بانک تجارت"</f>
        <v xml:space="preserve"> خيابان امام خميني روبروي بانک تجارت</v>
      </c>
      <c r="E534" s="1" t="s">
        <v>1574</v>
      </c>
    </row>
    <row r="535" spans="1:5">
      <c r="A535" s="1" t="s">
        <v>1441</v>
      </c>
      <c r="B535" s="1" t="str">
        <f t="shared" si="2"/>
        <v>تهران</v>
      </c>
      <c r="C535" s="1" t="str">
        <f>"شاهسوند نوشين"</f>
        <v>شاهسوند نوشين</v>
      </c>
      <c r="D535" s="1" t="str">
        <f>"جلال آل احمد 64"</f>
        <v>جلال آل احمد 64</v>
      </c>
      <c r="E535" s="1" t="s">
        <v>1574</v>
      </c>
    </row>
    <row r="536" spans="1:5">
      <c r="A536" s="1" t="s">
        <v>1441</v>
      </c>
      <c r="B536" s="1" t="str">
        <f t="shared" si="2"/>
        <v>تهران</v>
      </c>
      <c r="C536" s="1" t="str">
        <f>"محمدي پريسا"</f>
        <v>محمدي پريسا</v>
      </c>
      <c r="D536" s="1" t="str">
        <f>"زنجان - خيابان امام - ميدان 15 خرداد - پلاک 633"</f>
        <v>زنجان - خيابان امام - ميدان 15 خرداد - پلاک 633</v>
      </c>
      <c r="E536" s="1" t="s">
        <v>1574</v>
      </c>
    </row>
    <row r="537" spans="1:5">
      <c r="A537" s="1" t="s">
        <v>1441</v>
      </c>
      <c r="B537" s="1" t="str">
        <f t="shared" si="2"/>
        <v>تهران</v>
      </c>
      <c r="C537" s="1" t="str">
        <f>"فقيهي محمد حسين"</f>
        <v>فقيهي محمد حسين</v>
      </c>
      <c r="D537" s="1" t="str">
        <f>"خيابان تايباد روبروي هلال احمر"</f>
        <v>خيابان تايباد روبروي هلال احمر</v>
      </c>
      <c r="E537" s="1" t="s">
        <v>1574</v>
      </c>
    </row>
    <row r="538" spans="1:5">
      <c r="A538" s="1" t="s">
        <v>1441</v>
      </c>
      <c r="B538" s="1" t="str">
        <f>"کرمان"</f>
        <v>کرمان</v>
      </c>
      <c r="C538" s="1" t="str">
        <f>"سالار کريمي حمزه"</f>
        <v>سالار کريمي حمزه</v>
      </c>
      <c r="D538" s="1" t="str">
        <f>"کرمان-جاده تهران جنب بانک رفاه"</f>
        <v>کرمان-جاده تهران جنب بانک رفاه</v>
      </c>
      <c r="E538" s="1" t="s">
        <v>1574</v>
      </c>
    </row>
    <row r="539" spans="1:5">
      <c r="A539" s="1" t="s">
        <v>1441</v>
      </c>
      <c r="B539" s="1" t="str">
        <f>"كرمان"</f>
        <v>كرمان</v>
      </c>
      <c r="C539" s="1" t="str">
        <f>"جمشيدي رضا"</f>
        <v>جمشيدي رضا</v>
      </c>
      <c r="D539" s="1" t="str">
        <f>"جنب پل ابوذر"</f>
        <v>جنب پل ابوذر</v>
      </c>
      <c r="E539" s="1" t="s">
        <v>1574</v>
      </c>
    </row>
    <row r="540" spans="1:5">
      <c r="A540" s="1" t="s">
        <v>1441</v>
      </c>
      <c r="B540" s="1" t="str">
        <f>"سيرجان"</f>
        <v>سيرجان</v>
      </c>
      <c r="C540" s="1" t="str">
        <f>"نظري وحيد(سيرجان)"</f>
        <v>نظري وحيد(سيرجان)</v>
      </c>
      <c r="D540" s="1" t="str">
        <f>"خيابان نصيري شمالي"</f>
        <v>خيابان نصيري شمالي</v>
      </c>
      <c r="E540" s="1" t="s">
        <v>1574</v>
      </c>
    </row>
    <row r="541" spans="1:5">
      <c r="A541" s="1" t="s">
        <v>1441</v>
      </c>
      <c r="B541" s="1" t="str">
        <f>"کرمان"</f>
        <v>کرمان</v>
      </c>
      <c r="C541" s="1" t="str">
        <f>"رام محمد"</f>
        <v>رام محمد</v>
      </c>
      <c r="D541" s="1" t="str">
        <f>"کرمان"</f>
        <v>کرمان</v>
      </c>
      <c r="E541" s="1" t="s">
        <v>1574</v>
      </c>
    </row>
    <row r="542" spans="1:5">
      <c r="A542" s="1" t="s">
        <v>1441</v>
      </c>
      <c r="B542" s="1" t="str">
        <f>"جيرفت"</f>
        <v>جيرفت</v>
      </c>
      <c r="C542" s="1" t="str">
        <f>"پولاد خاي ببراز(جيرفت)"</f>
        <v>پولاد خاي ببراز(جيرفت)</v>
      </c>
      <c r="D542" s="1" t="str">
        <f>"خيابان امام روبرو اموزش پرورش قديم"</f>
        <v>خيابان امام روبرو اموزش پرورش قديم</v>
      </c>
      <c r="E542" s="1" t="s">
        <v>1574</v>
      </c>
    </row>
    <row r="543" spans="1:5">
      <c r="A543" s="1" t="s">
        <v>1441</v>
      </c>
      <c r="B543" s="1" t="str">
        <f>"كرمان"</f>
        <v>كرمان</v>
      </c>
      <c r="C543" s="1" t="str">
        <f>"جمشيدي جم اميرحسين"</f>
        <v>جمشيدي جم اميرحسين</v>
      </c>
      <c r="D543" s="1" t="str">
        <f>"خيابان اقبال بعداز 4راه اقبال"</f>
        <v>خيابان اقبال بعداز 4راه اقبال</v>
      </c>
      <c r="E543" s="1" t="s">
        <v>1574</v>
      </c>
    </row>
    <row r="544" spans="1:5">
      <c r="A544" s="1" t="s">
        <v>1441</v>
      </c>
      <c r="B544" s="1" t="str">
        <f>"سمنان"</f>
        <v>سمنان</v>
      </c>
      <c r="C544" s="1" t="str">
        <f>"فضلي عيسي"</f>
        <v>فضلي عيسي</v>
      </c>
      <c r="D544" s="1" t="str">
        <f>"ميدان مشاهير- ابتداي باغ فردوس"</f>
        <v>ميدان مشاهير- ابتداي باغ فردوس</v>
      </c>
      <c r="E544" s="1" t="s">
        <v>1574</v>
      </c>
    </row>
    <row r="545" spans="1:5">
      <c r="A545" s="1" t="s">
        <v>1441</v>
      </c>
      <c r="B545" s="1" t="str">
        <f>"سمنان"</f>
        <v>سمنان</v>
      </c>
      <c r="C545" s="1" t="str">
        <f>"نظري عرفان"</f>
        <v>نظري عرفان</v>
      </c>
      <c r="D545" s="1" t="str">
        <f>"انتهاي خيابان ياسر- فروشگاه نظري"</f>
        <v>انتهاي خيابان ياسر- فروشگاه نظري</v>
      </c>
      <c r="E545" s="1" t="s">
        <v>1574</v>
      </c>
    </row>
    <row r="546" spans="1:5">
      <c r="A546" s="1" t="s">
        <v>1441</v>
      </c>
      <c r="B546" s="1" t="str">
        <f>"نوشهر"</f>
        <v>نوشهر</v>
      </c>
      <c r="C546" s="1" t="str">
        <f>"ساروي علي"</f>
        <v>ساروي علي</v>
      </c>
      <c r="D546" s="1" t="str">
        <f>"دور ميدان فردوسي"</f>
        <v>دور ميدان فردوسي</v>
      </c>
      <c r="E546" s="1" t="s">
        <v>1574</v>
      </c>
    </row>
    <row r="547" spans="1:5">
      <c r="A547" s="1" t="s">
        <v>1441</v>
      </c>
      <c r="B547" s="1" t="str">
        <f>"ساري"</f>
        <v>ساري</v>
      </c>
      <c r="C547" s="1" t="str">
        <f>"دانش يار جليل"</f>
        <v>دانش يار جليل</v>
      </c>
      <c r="D547" s="1" t="str">
        <f>"كمربند شرقي- فروشگاه جهان"</f>
        <v>كمربند شرقي- فروشگاه جهان</v>
      </c>
      <c r="E547" s="1" t="s">
        <v>1574</v>
      </c>
    </row>
    <row r="548" spans="1:5">
      <c r="A548" s="1" t="s">
        <v>1441</v>
      </c>
      <c r="B548" s="1" t="str">
        <f>"مازندران"</f>
        <v>مازندران</v>
      </c>
      <c r="C548" s="1" t="str">
        <f>"ابراهيم زاده ناصر/بابل"</f>
        <v>ابراهيم زاده ناصر/بابل</v>
      </c>
      <c r="D548" s="1" t="str">
        <f>" بابل فرهنگ شهر- روبروي بانک ملت"</f>
        <v xml:space="preserve"> بابل فرهنگ شهر- روبروي بانک ملت</v>
      </c>
      <c r="E548" s="1" t="s">
        <v>1574</v>
      </c>
    </row>
    <row r="549" spans="1:5">
      <c r="A549" s="1" t="s">
        <v>1441</v>
      </c>
      <c r="B549" s="1" t="str">
        <f>"ساري"</f>
        <v>ساري</v>
      </c>
      <c r="C549" s="1" t="str">
        <f>"مدانلو پرويز(ساري)"</f>
        <v>مدانلو پرويز(ساري)</v>
      </c>
      <c r="D549" s="1" t="str">
        <f>"روبروي سرپرستي بانك ملي"</f>
        <v>روبروي سرپرستي بانك ملي</v>
      </c>
      <c r="E549" s="1" t="s">
        <v>1574</v>
      </c>
    </row>
    <row r="550" spans="1:5">
      <c r="A550" s="1" t="s">
        <v>1441</v>
      </c>
      <c r="B550" s="1" t="str">
        <f>"نور"</f>
        <v>نور</v>
      </c>
      <c r="C550" s="1" t="str">
        <f>"واحدي غلامحسن"</f>
        <v>واحدي غلامحسن</v>
      </c>
      <c r="D550" s="1" t="str">
        <f>"ميدان کارگر"</f>
        <v>ميدان کارگر</v>
      </c>
      <c r="E550" s="1" t="s">
        <v>1574</v>
      </c>
    </row>
    <row r="551" spans="1:5">
      <c r="A551" s="1" t="s">
        <v>1441</v>
      </c>
      <c r="B551" s="1" t="str">
        <f>"عباس آباد"</f>
        <v>عباس آباد</v>
      </c>
      <c r="C551" s="1" t="str">
        <f>"جاري غلامحسين"</f>
        <v>جاري غلامحسين</v>
      </c>
      <c r="D551" s="1" t="str">
        <f>"خ دريا"</f>
        <v>خ دريا</v>
      </c>
      <c r="E551" s="1" t="s">
        <v>1574</v>
      </c>
    </row>
    <row r="552" spans="1:5">
      <c r="A552" s="1" t="s">
        <v>1441</v>
      </c>
      <c r="B552" s="1" t="str">
        <f>"بهشهر"</f>
        <v>بهشهر</v>
      </c>
      <c r="C552" s="1" t="str">
        <f>"حق پرستان کيانوش"</f>
        <v>حق پرستان کيانوش</v>
      </c>
      <c r="D552" s="1" t="str">
        <f>"سه راه آزادي"</f>
        <v>سه راه آزادي</v>
      </c>
      <c r="E552" s="1" t="s">
        <v>1574</v>
      </c>
    </row>
    <row r="553" spans="1:5">
      <c r="A553" s="1" t="s">
        <v>1441</v>
      </c>
      <c r="B553" s="1" t="str">
        <f>"بابل"</f>
        <v>بابل</v>
      </c>
      <c r="C553" s="1" t="str">
        <f>"خامسيان ( ذبيحي ) محمد حسين"</f>
        <v>خامسيان ( ذبيحي ) محمد حسين</v>
      </c>
      <c r="D553" s="1" t="str">
        <f>"كمربندي غربي- توحيد 38"</f>
        <v>كمربندي غربي- توحيد 38</v>
      </c>
      <c r="E553" s="1" t="s">
        <v>1574</v>
      </c>
    </row>
    <row r="554" spans="1:5">
      <c r="A554" s="1" t="s">
        <v>1441</v>
      </c>
      <c r="B554" s="1" t="str">
        <f>"بهشهر"</f>
        <v>بهشهر</v>
      </c>
      <c r="C554" s="1" t="str">
        <f>"يلا مهدي"</f>
        <v>يلا مهدي</v>
      </c>
      <c r="D554" s="1" t="str">
        <f>"خيابان آزادي- روبروي بانك صادرات"</f>
        <v>خيابان آزادي- روبروي بانك صادرات</v>
      </c>
      <c r="E554" s="1" t="s">
        <v>1574</v>
      </c>
    </row>
    <row r="555" spans="1:5">
      <c r="A555" s="1" t="s">
        <v>1441</v>
      </c>
      <c r="B555" s="1" t="str">
        <f>"بابل"</f>
        <v>بابل</v>
      </c>
      <c r="C555" s="1" t="str">
        <f>"مصطفي زاده مهرزاد"</f>
        <v>مصطفي زاده مهرزاد</v>
      </c>
      <c r="D555" s="1" t="str">
        <f>"بلوار کارگر- روبروي بيمارستان روحاني"</f>
        <v>بلوار کارگر- روبروي بيمارستان روحاني</v>
      </c>
      <c r="E555" s="1" t="s">
        <v>1574</v>
      </c>
    </row>
    <row r="556" spans="1:5">
      <c r="A556" s="1" t="s">
        <v>1441</v>
      </c>
      <c r="B556" s="1" t="str">
        <f>"سلمانشهر"</f>
        <v>سلمانشهر</v>
      </c>
      <c r="C556" s="1" t="str">
        <f>"اصغري(سلمان شهر) محمد"</f>
        <v>اصغري(سلمان شهر) محمد</v>
      </c>
      <c r="D556" s="1" t="str">
        <f>"خ مسجد جامع"</f>
        <v>خ مسجد جامع</v>
      </c>
      <c r="E556" s="1" t="s">
        <v>1574</v>
      </c>
    </row>
    <row r="557" spans="1:5">
      <c r="A557" s="1" t="s">
        <v>1441</v>
      </c>
      <c r="B557" s="1" t="str">
        <f>"بابل"</f>
        <v>بابل</v>
      </c>
      <c r="C557" s="1" t="str">
        <f>"ذاكري جواد"</f>
        <v>ذاكري جواد</v>
      </c>
      <c r="D557" s="1" t="str">
        <f>"سر پل محمد حسن خان"</f>
        <v>سر پل محمد حسن خان</v>
      </c>
      <c r="E557" s="1" t="s">
        <v>1574</v>
      </c>
    </row>
    <row r="558" spans="1:5">
      <c r="A558" s="1" t="s">
        <v>1441</v>
      </c>
      <c r="B558" s="1" t="str">
        <f>"ساري"</f>
        <v>ساري</v>
      </c>
      <c r="C558" s="1" t="str">
        <f>"قاسم زاده يارعلي"</f>
        <v>قاسم زاده يارعلي</v>
      </c>
      <c r="D558" s="1" t="str">
        <f>"م?اندرود-بلوار امام رضا -فروشگاه مسکن مزرعه"</f>
        <v>م?اندرود-بلوار امام رضا -فروشگاه مسکن مزرعه</v>
      </c>
      <c r="E558" s="1" t="s">
        <v>1574</v>
      </c>
    </row>
    <row r="559" spans="1:5">
      <c r="A559" s="1" t="s">
        <v>1441</v>
      </c>
      <c r="B559" s="1" t="str">
        <f>"چالوس"</f>
        <v>چالوس</v>
      </c>
      <c r="C559" s="1" t="str">
        <f>"نيك صفت بابل"</f>
        <v>نيك صفت بابل</v>
      </c>
      <c r="D559" s="1" t="str">
        <f>"بلوار تنكابن- روبروي دادگستري"</f>
        <v>بلوار تنكابن- روبروي دادگستري</v>
      </c>
      <c r="E559" s="1" t="s">
        <v>1574</v>
      </c>
    </row>
    <row r="560" spans="1:5">
      <c r="A560" s="1" t="s">
        <v>1441</v>
      </c>
      <c r="B560" s="1" t="str">
        <f>"قائمشهر"</f>
        <v>قائمشهر</v>
      </c>
      <c r="C560" s="1" t="str">
        <f>"مروتي محمد"</f>
        <v>مروتي محمد</v>
      </c>
      <c r="D560" s="1" t="str">
        <f>"خيابان ساري- روبروي نساجي مازندران"</f>
        <v>خيابان ساري- روبروي نساجي مازندران</v>
      </c>
      <c r="E560" s="1" t="s">
        <v>1574</v>
      </c>
    </row>
    <row r="561" spans="1:5">
      <c r="A561" s="1" t="s">
        <v>1441</v>
      </c>
      <c r="B561" s="1" t="str">
        <f>"بابل"</f>
        <v>بابل</v>
      </c>
      <c r="C561" s="1" t="str">
        <f>"ابراهيم زاده بهمن"</f>
        <v>ابراهيم زاده بهمن</v>
      </c>
      <c r="D561" s="1" t="str">
        <f>"مازندران بابل سه راه بيد آباد"</f>
        <v>مازندران بابل سه راه بيد آباد</v>
      </c>
      <c r="E561" s="1" t="s">
        <v>1574</v>
      </c>
    </row>
    <row r="562" spans="1:5">
      <c r="A562" s="1" t="s">
        <v>1441</v>
      </c>
      <c r="B562" s="1" t="str">
        <f>"بابل"</f>
        <v>بابل</v>
      </c>
      <c r="C562" s="1" t="str">
        <f>"سفيدگر حسين"</f>
        <v>سفيدگر حسين</v>
      </c>
      <c r="D562" s="1" t="str">
        <f>"كمربندي غربي- توحيد 38"</f>
        <v>كمربندي غربي- توحيد 38</v>
      </c>
      <c r="E562" s="1" t="s">
        <v>1574</v>
      </c>
    </row>
    <row r="563" spans="1:5">
      <c r="A563" s="1" t="s">
        <v>1441</v>
      </c>
      <c r="B563" s="1" t="str">
        <f>"فريدون كنار"</f>
        <v>فريدون كنار</v>
      </c>
      <c r="C563" s="1" t="str">
        <f>"عابدپور مصطفي"</f>
        <v>عابدپور مصطفي</v>
      </c>
      <c r="D563" s="1" t="str">
        <f>"كوي بانك تجارت"</f>
        <v>كوي بانك تجارت</v>
      </c>
      <c r="E563" s="1" t="s">
        <v>1574</v>
      </c>
    </row>
    <row r="564" spans="1:5">
      <c r="A564" s="1" t="s">
        <v>1441</v>
      </c>
      <c r="B564" s="1" t="str">
        <f>"بهشهر"</f>
        <v>بهشهر</v>
      </c>
      <c r="C564" s="1" t="str">
        <f>"دژپسند محمد"</f>
        <v>دژپسند محمد</v>
      </c>
      <c r="D564" s="1" t="str">
        <f>"رستم كلا"</f>
        <v>رستم كلا</v>
      </c>
      <c r="E564" s="1" t="s">
        <v>1574</v>
      </c>
    </row>
    <row r="565" spans="1:5">
      <c r="A565" s="1" t="s">
        <v>1441</v>
      </c>
      <c r="B565" s="1" t="str">
        <f>"آمل"</f>
        <v>آمل</v>
      </c>
      <c r="C565" s="1" t="str">
        <f>"طيبي مرتضي"</f>
        <v>طيبي مرتضي</v>
      </c>
      <c r="D565" s="1" t="str">
        <f>"جاده هلي كتي- كوچه ائل- سمت چپ"</f>
        <v>جاده هلي كتي- كوچه ائل- سمت چپ</v>
      </c>
      <c r="E565" s="1" t="s">
        <v>1574</v>
      </c>
    </row>
    <row r="566" spans="1:5">
      <c r="A566" s="1" t="s">
        <v>1441</v>
      </c>
      <c r="B566" s="1" t="str">
        <f>"قائمشهر"</f>
        <v>قائمشهر</v>
      </c>
      <c r="C566" s="1" t="str">
        <f>"جورسرايي عباس"</f>
        <v>جورسرايي عباس</v>
      </c>
      <c r="D566" s="1" t="str">
        <f>"كمربندي ساري- بعد از پمپ بنزين"</f>
        <v>كمربندي ساري- بعد از پمپ بنزين</v>
      </c>
      <c r="E566" s="1" t="s">
        <v>1574</v>
      </c>
    </row>
    <row r="567" spans="1:5">
      <c r="A567" s="1" t="s">
        <v>1441</v>
      </c>
      <c r="B567" s="1" t="str">
        <f>"آمل"</f>
        <v>آمل</v>
      </c>
      <c r="C567" s="1" t="str">
        <f>"هاشم پناه محمد رضا"</f>
        <v>هاشم پناه محمد رضا</v>
      </c>
      <c r="D567" s="1" t="str">
        <f>"انتهاي آفتاب24"</f>
        <v>انتهاي آفتاب24</v>
      </c>
      <c r="E567" s="1" t="s">
        <v>1574</v>
      </c>
    </row>
    <row r="568" spans="1:5">
      <c r="A568" s="1" t="s">
        <v>1441</v>
      </c>
      <c r="B568" s="1" t="str">
        <f>"شهريار"</f>
        <v>شهريار</v>
      </c>
      <c r="C568" s="1" t="str">
        <f>"سلگي احمد"</f>
        <v>سلگي احمد</v>
      </c>
      <c r="D568" s="1" t="str">
        <f>"شهرک انديشه-فاز يک-بلوار مدرس-بين خ هشتم و نهم شرقي-جنب گالري مدرس-پ64/4"</f>
        <v>شهرک انديشه-فاز يک-بلوار مدرس-بين خ هشتم و نهم شرقي-جنب گالري مدرس-پ64/4</v>
      </c>
      <c r="E568" s="1" t="s">
        <v>1574</v>
      </c>
    </row>
    <row r="569" spans="1:5">
      <c r="A569" s="1" t="s">
        <v>1441</v>
      </c>
      <c r="B569" s="1" t="str">
        <f>"كرج"</f>
        <v>كرج</v>
      </c>
      <c r="C569" s="1" t="str">
        <f>"لنگري حسين"</f>
        <v>لنگري حسين</v>
      </c>
      <c r="D569" s="1" t="str">
        <f>"جاده ملارد روبه روي خيابان شيراز شرقي ، بازرگاني مهدي"</f>
        <v>جاده ملارد روبه روي خيابان شيراز شرقي ، بازرگاني مهدي</v>
      </c>
      <c r="E569" s="1" t="s">
        <v>1574</v>
      </c>
    </row>
    <row r="570" spans="1:5">
      <c r="A570" s="1" t="s">
        <v>1441</v>
      </c>
      <c r="B570" s="1" t="str">
        <f>"كرج"</f>
        <v>كرج</v>
      </c>
      <c r="C570" s="1" t="str">
        <f>"رادپور مسعود"</f>
        <v>رادپور مسعود</v>
      </c>
      <c r="D570" s="1" t="str">
        <f>"نظرآباد ، بلوار مدرس، نرسيده به تقاطع الغدير کابينت راد"</f>
        <v>نظرآباد ، بلوار مدرس، نرسيده به تقاطع الغدير کابينت راد</v>
      </c>
      <c r="E570" s="1" t="s">
        <v>1574</v>
      </c>
    </row>
    <row r="571" spans="1:5">
      <c r="A571" s="1" t="s">
        <v>1441</v>
      </c>
      <c r="B571" s="1" t="str">
        <f>"كرج"</f>
        <v>كرج</v>
      </c>
      <c r="C571" s="1" t="str">
        <f>"بذله حسين"</f>
        <v>بذله حسين</v>
      </c>
      <c r="D571" s="1" t="str">
        <f>"جاده ملارد ، بعد از پارک منظريه، پايين تر از گلستان 30، فروشگاه پارس"</f>
        <v>جاده ملارد ، بعد از پارک منظريه، پايين تر از گلستان 30، فروشگاه پارس</v>
      </c>
      <c r="E571" s="1" t="s">
        <v>1574</v>
      </c>
    </row>
    <row r="572" spans="1:5">
      <c r="A572" s="1" t="s">
        <v>1441</v>
      </c>
      <c r="B572" s="1" t="str">
        <f>"قزوين"</f>
        <v>قزوين</v>
      </c>
      <c r="C572" s="1" t="str">
        <f>"محمدي اميررضا"</f>
        <v>محمدي اميررضا</v>
      </c>
      <c r="D572" s="1" t="str">
        <f>"فردوسي شمالي ، نبش ميدان عدل ، بازرگاني البرز"</f>
        <v>فردوسي شمالي ، نبش ميدان عدل ، بازرگاني البرز</v>
      </c>
      <c r="E572" s="1" t="s">
        <v>1574</v>
      </c>
    </row>
    <row r="573" spans="1:5">
      <c r="A573" s="1" t="s">
        <v>1441</v>
      </c>
      <c r="B573" s="1" t="str">
        <f>"کرج"</f>
        <v>کرج</v>
      </c>
      <c r="C573" s="1" t="str">
        <f>"جعفري جولگه حسين"</f>
        <v>جعفري جولگه حسين</v>
      </c>
      <c r="D573" s="1" t="str">
        <f>"طالقاني جنوبي بين 12 متري و 16 متري انقلاب فروشگاه هارموني"</f>
        <v>طالقاني جنوبي بين 12 متري و 16 متري انقلاب فروشگاه هارموني</v>
      </c>
      <c r="E573" s="1" t="s">
        <v>1574</v>
      </c>
    </row>
    <row r="574" spans="1:5">
      <c r="A574" s="1" t="s">
        <v>1441</v>
      </c>
      <c r="B574" s="1" t="str">
        <f>"شهريار"</f>
        <v>شهريار</v>
      </c>
      <c r="C574" s="1" t="str">
        <f>"عياني علي"</f>
        <v>عياني علي</v>
      </c>
      <c r="D574" s="1" t="str">
        <f>"شهريار، بلوار انقلاب، بلوار کشاورز جنب کوچه شهيد احمدي ، پلاک 132"</f>
        <v>شهريار، بلوار انقلاب، بلوار کشاورز جنب کوچه شهيد احمدي ، پلاک 132</v>
      </c>
      <c r="E574" s="1" t="s">
        <v>1574</v>
      </c>
    </row>
    <row r="575" spans="1:5">
      <c r="A575" s="1" t="s">
        <v>1441</v>
      </c>
      <c r="B575" s="1" t="str">
        <f>"کرج"</f>
        <v>کرج</v>
      </c>
      <c r="C575" s="1" t="str">
        <f>"گلدار مسعود"</f>
        <v>گلدار مسعود</v>
      </c>
      <c r="D575" s="1" t="str">
        <f>"کمالشهر ، بلوار بهشتي ، نبش ظفر2"</f>
        <v>کمالشهر ، بلوار بهشتي ، نبش ظفر2</v>
      </c>
      <c r="E575" s="1" t="s">
        <v>1574</v>
      </c>
    </row>
    <row r="576" spans="1:5">
      <c r="A576" s="1" t="s">
        <v>1441</v>
      </c>
      <c r="B576" s="1" t="str">
        <f>"بوشهر"</f>
        <v>بوشهر</v>
      </c>
      <c r="C576" s="1" t="str">
        <f>"(فخرالدين جشن) جلال دريانورد"</f>
        <v>(فخرالدين جشن) جلال دريانورد</v>
      </c>
      <c r="D576" s="1" t="str">
        <f>"هرمزگان -قشم -درگهان م?دان وحدت"</f>
        <v>هرمزگان -قشم -درگهان م?دان وحدت</v>
      </c>
      <c r="E576" s="1" t="s">
        <v>1574</v>
      </c>
    </row>
    <row r="577" spans="1:5">
      <c r="A577" s="1" t="s">
        <v>1441</v>
      </c>
      <c r="B577" s="1" t="str">
        <f>"كرمان"</f>
        <v>كرمان</v>
      </c>
      <c r="C577" s="1" t="str">
        <f>"فاتحي محمد"</f>
        <v>فاتحي محمد</v>
      </c>
      <c r="D577" s="1" t="str">
        <f>"شهربابک-خ امام"</f>
        <v>شهربابک-خ امام</v>
      </c>
      <c r="E577" s="1" t="s">
        <v>1574</v>
      </c>
    </row>
    <row r="578" spans="1:5">
      <c r="A578" s="1" t="s">
        <v>1441</v>
      </c>
      <c r="B578" s="1" t="str">
        <f>"كرمان"</f>
        <v>كرمان</v>
      </c>
      <c r="C578" s="1" t="str">
        <f>"ابولحسني مصطفي"</f>
        <v>ابولحسني مصطفي</v>
      </c>
      <c r="D578" s="1" t="str">
        <f>"خ ابن سينا سمت راست مجتمع قام"</f>
        <v>خ ابن سينا سمت راست مجتمع قام</v>
      </c>
      <c r="E578" s="1" t="s">
        <v>1574</v>
      </c>
    </row>
    <row r="579" spans="1:5">
      <c r="A579" s="1" t="s">
        <v>1441</v>
      </c>
      <c r="B579" s="1" t="str">
        <f>"کرمان"</f>
        <v>کرمان</v>
      </c>
      <c r="C579" s="1" t="str">
        <f>"استبرقي علي"</f>
        <v>استبرقي علي</v>
      </c>
      <c r="D579" s="1" t="str">
        <f>"شهربابک خ منتظري کوچه 4"</f>
        <v>شهربابک خ منتظري کوچه 4</v>
      </c>
      <c r="E579" s="1" t="s">
        <v>1574</v>
      </c>
    </row>
    <row r="580" spans="1:5">
      <c r="A580" s="1" t="s">
        <v>1441</v>
      </c>
      <c r="B580" s="1" t="str">
        <f>"كرمان"</f>
        <v>كرمان</v>
      </c>
      <c r="C580" s="1" t="str">
        <f>"درياقلي بيگي محمدرضا"</f>
        <v>درياقلي بيگي محمدرضا</v>
      </c>
      <c r="D580" s="1" t="str">
        <f>"پل ابوذر -بلوارشهيدمفتح"</f>
        <v>پل ابوذر -بلوارشهيدمفتح</v>
      </c>
      <c r="E580" s="1" t="s">
        <v>1574</v>
      </c>
    </row>
    <row r="581" spans="1:5">
      <c r="A581" s="1" t="s">
        <v>1441</v>
      </c>
      <c r="B581" s="1" t="str">
        <f>"كرمان"</f>
        <v>كرمان</v>
      </c>
      <c r="C581" s="1" t="str">
        <f>"عيسايي امير"</f>
        <v>عيسايي امير</v>
      </c>
      <c r="D581" s="1" t="str">
        <f>"منوجان-قلعه بلوار خليج فارس جنب چاپ قلعه"</f>
        <v>منوجان-قلعه بلوار خليج فارس جنب چاپ قلعه</v>
      </c>
      <c r="E581" s="1" t="s">
        <v>1574</v>
      </c>
    </row>
    <row r="582" spans="1:5">
      <c r="A582" s="1" t="s">
        <v>1441</v>
      </c>
      <c r="B582" s="1" t="str">
        <f>"كرمان"</f>
        <v>كرمان</v>
      </c>
      <c r="C582" s="1" t="str">
        <f>"شاه حيدري مجيد"</f>
        <v>شاه حيدري مجيد</v>
      </c>
      <c r="D582" s="1" t="str">
        <f>"پل ابوذر"</f>
        <v>پل ابوذر</v>
      </c>
      <c r="E582" s="1" t="s">
        <v>1574</v>
      </c>
    </row>
    <row r="583" spans="1:5">
      <c r="A583" s="1" t="s">
        <v>1441</v>
      </c>
      <c r="B583" s="1" t="str">
        <f>"كرمان"</f>
        <v>كرمان</v>
      </c>
      <c r="C583" s="1" t="str">
        <f>"افضلي سيد کمال"</f>
        <v>افضلي سيد کمال</v>
      </c>
      <c r="D583" s="1" t="str">
        <f>"کهنوج"</f>
        <v>کهنوج</v>
      </c>
      <c r="E583" s="1" t="s">
        <v>1574</v>
      </c>
    </row>
    <row r="584" spans="1:5">
      <c r="A584" s="1" t="s">
        <v>1441</v>
      </c>
      <c r="B584" s="1" t="str">
        <f>"كرمان"</f>
        <v>كرمان</v>
      </c>
      <c r="C584" s="1" t="str">
        <f>"جداوي جواد"</f>
        <v>جداوي جواد</v>
      </c>
      <c r="D584" s="1" t="str">
        <f>"منوجان بلوار فلسطين"</f>
        <v>منوجان بلوار فلسطين</v>
      </c>
      <c r="E584" s="1" t="s">
        <v>1574</v>
      </c>
    </row>
    <row r="585" spans="1:5">
      <c r="A585" s="1" t="s">
        <v>1441</v>
      </c>
      <c r="B585" s="1" t="str">
        <f>"کرمان"</f>
        <v>کرمان</v>
      </c>
      <c r="C585" s="1" t="str">
        <f>"کوه پيما منوجان ابراهيم"</f>
        <v>کوه پيما منوجان ابراهيم</v>
      </c>
      <c r="D585" s="1" t="str">
        <f>"منوجان ماه کنگان"</f>
        <v>منوجان ماه کنگان</v>
      </c>
      <c r="E585" s="1" t="s">
        <v>1574</v>
      </c>
    </row>
    <row r="586" spans="1:5">
      <c r="A586" s="1" t="s">
        <v>1441</v>
      </c>
      <c r="B586" s="1" t="str">
        <f>"کرمان"</f>
        <v>کرمان</v>
      </c>
      <c r="C586" s="1" t="str">
        <f>"جماليان علي(شهربابک)"</f>
        <v>جماليان علي(شهربابک)</v>
      </c>
      <c r="D586" s="1" t="str">
        <f>"شهربابک"</f>
        <v>شهربابک</v>
      </c>
      <c r="E586" s="1" t="s">
        <v>1574</v>
      </c>
    </row>
    <row r="587" spans="1:5">
      <c r="A587" s="1" t="s">
        <v>1441</v>
      </c>
      <c r="B587" s="1" t="str">
        <f>"سيرجان"</f>
        <v>سيرجان</v>
      </c>
      <c r="C587" s="1" t="str">
        <f>"صيادي عباس(سيرجان)"</f>
        <v>صيادي عباس(سيرجان)</v>
      </c>
      <c r="D587" s="1" t="str">
        <f>"بلوارمالک اشتر"</f>
        <v>بلوارمالک اشتر</v>
      </c>
      <c r="E587" s="1" t="s">
        <v>1574</v>
      </c>
    </row>
    <row r="588" spans="1:5">
      <c r="A588" s="1" t="s">
        <v>1441</v>
      </c>
      <c r="B588" s="1" t="str">
        <f>"بم"</f>
        <v>بم</v>
      </c>
      <c r="C588" s="1" t="str">
        <f>"صفابخش اسماعيل (رستم آباد)"</f>
        <v>صفابخش اسماعيل (رستم آباد)</v>
      </c>
      <c r="D588" s="1" t="str">
        <f>"رستم اباد"</f>
        <v>رستم اباد</v>
      </c>
      <c r="E588" s="1" t="s">
        <v>1574</v>
      </c>
    </row>
    <row r="589" spans="1:5">
      <c r="A589" s="1" t="s">
        <v>1441</v>
      </c>
      <c r="B589" s="1" t="str">
        <f>"سيرجان"</f>
        <v>سيرجان</v>
      </c>
      <c r="C589" s="1" t="str">
        <f>"مورديني نژاد اکبر"</f>
        <v>مورديني نژاد اکبر</v>
      </c>
      <c r="D589" s="1" t="str">
        <f>"بلوارسيدجمال"</f>
        <v>بلوارسيدجمال</v>
      </c>
      <c r="E589" s="1" t="s">
        <v>1574</v>
      </c>
    </row>
    <row r="590" spans="1:5">
      <c r="A590" s="1" t="s">
        <v>1441</v>
      </c>
      <c r="B590" s="1" t="str">
        <f>"کرمان"</f>
        <v>کرمان</v>
      </c>
      <c r="C590" s="1" t="str">
        <f>"رضايي حسين (شهر بابك)"</f>
        <v>رضايي حسين (شهر بابك)</v>
      </c>
      <c r="D590" s="1" t="str">
        <f>"شهربابک ميدان امام حسين خيابان 17شهريور"</f>
        <v>شهربابک ميدان امام حسين خيابان 17شهريور</v>
      </c>
      <c r="E590" s="1" t="s">
        <v>1574</v>
      </c>
    </row>
    <row r="591" spans="1:5">
      <c r="A591" s="1" t="s">
        <v>1441</v>
      </c>
      <c r="B591" s="1" t="str">
        <f>"کرمان"</f>
        <v>کرمان</v>
      </c>
      <c r="C591" s="1" t="str">
        <f>"شيده(بم) احمد"</f>
        <v>شيده(بم) احمد</v>
      </c>
      <c r="D591" s="1" t="str">
        <f>"بم-بلوار جمهور? روبرو? قصر سنگ"</f>
        <v>بم-بلوار جمهور? روبرو? قصر سنگ</v>
      </c>
      <c r="E591" s="1" t="s">
        <v>1574</v>
      </c>
    </row>
    <row r="592" spans="1:5">
      <c r="A592" s="1" t="s">
        <v>1441</v>
      </c>
      <c r="B592" s="1" t="str">
        <f t="shared" ref="B592:B597" si="3">"كرمان"</f>
        <v>كرمان</v>
      </c>
      <c r="C592" s="1" t="str">
        <f>"جاني پور(بردسير) صالح"</f>
        <v>جاني پور(بردسير) صالح</v>
      </c>
      <c r="D592" s="1" t="str">
        <f>"بردسيرخيابان شريعتي جنب مسجدجامع"</f>
        <v>بردسيرخيابان شريعتي جنب مسجدجامع</v>
      </c>
      <c r="E592" s="1" t="s">
        <v>1574</v>
      </c>
    </row>
    <row r="593" spans="1:5">
      <c r="A593" s="1" t="s">
        <v>1441</v>
      </c>
      <c r="B593" s="1" t="str">
        <f t="shared" si="3"/>
        <v>كرمان</v>
      </c>
      <c r="C593" s="1" t="str">
        <f>"سالاري(جيرفت) ايرج"</f>
        <v>سالاري(جيرفت) ايرج</v>
      </c>
      <c r="D593" s="1" t="str">
        <f>"جيرفت نبش ميدان شهداي گمنام"</f>
        <v>جيرفت نبش ميدان شهداي گمنام</v>
      </c>
      <c r="E593" s="1" t="s">
        <v>1574</v>
      </c>
    </row>
    <row r="594" spans="1:5">
      <c r="A594" s="1" t="s">
        <v>1441</v>
      </c>
      <c r="B594" s="1" t="str">
        <f t="shared" si="3"/>
        <v>كرمان</v>
      </c>
      <c r="C594" s="1" t="str">
        <f>"حاج ملك اصغر"</f>
        <v>حاج ملك اصغر</v>
      </c>
      <c r="D594" s="1" t="str">
        <f>"بلوارشهيدمفتح"</f>
        <v>بلوارشهيدمفتح</v>
      </c>
      <c r="E594" s="1" t="s">
        <v>1574</v>
      </c>
    </row>
    <row r="595" spans="1:5">
      <c r="A595" s="1" t="s">
        <v>1441</v>
      </c>
      <c r="B595" s="1" t="str">
        <f t="shared" si="3"/>
        <v>كرمان</v>
      </c>
      <c r="C595" s="1" t="str">
        <f>"محبي فر محمد"</f>
        <v>محبي فر محمد</v>
      </c>
      <c r="D595" s="1" t="str">
        <f>"خيابان ابوذر روبرو هتل گواشير"</f>
        <v>خيابان ابوذر روبرو هتل گواشير</v>
      </c>
      <c r="E595" s="1" t="s">
        <v>1574</v>
      </c>
    </row>
    <row r="596" spans="1:5">
      <c r="A596" s="1" t="s">
        <v>1441</v>
      </c>
      <c r="B596" s="1" t="str">
        <f t="shared" si="3"/>
        <v>كرمان</v>
      </c>
      <c r="C596" s="1" t="str">
        <f>"لطفعلي زاده غلامرضا"</f>
        <v>لطفعلي زاده غلامرضا</v>
      </c>
      <c r="D596" s="1" t="str">
        <f>"خ مطهري شرقي فروشگاه نوين"</f>
        <v>خ مطهري شرقي فروشگاه نوين</v>
      </c>
      <c r="E596" s="1" t="s">
        <v>1574</v>
      </c>
    </row>
    <row r="597" spans="1:5">
      <c r="A597" s="1" t="s">
        <v>1441</v>
      </c>
      <c r="B597" s="1" t="str">
        <f t="shared" si="3"/>
        <v>كرمان</v>
      </c>
      <c r="C597" s="1" t="str">
        <f>"ارجمند مهرداد"</f>
        <v>ارجمند مهرداد</v>
      </c>
      <c r="D597" s="1" t="str">
        <f>"ميدان ازادي اول جاده تهران"</f>
        <v>ميدان ازادي اول جاده تهران</v>
      </c>
      <c r="E597" s="1" t="s">
        <v>1574</v>
      </c>
    </row>
    <row r="598" spans="1:5">
      <c r="A598" s="1" t="s">
        <v>1441</v>
      </c>
      <c r="B598" s="1" t="str">
        <f>"کرمان"</f>
        <v>کرمان</v>
      </c>
      <c r="C598" s="1" t="str">
        <f>"روحانيان محمد هادي"</f>
        <v>روحانيان محمد هادي</v>
      </c>
      <c r="D598" s="1" t="str">
        <f>"خيابان طالقاني انتهاي کوچه8"</f>
        <v>خيابان طالقاني انتهاي کوچه8</v>
      </c>
      <c r="E598" s="1" t="s">
        <v>1574</v>
      </c>
    </row>
    <row r="599" spans="1:5">
      <c r="A599" s="1" t="s">
        <v>1441</v>
      </c>
      <c r="B599" s="1" t="str">
        <f>"شيراز"</f>
        <v>شيراز</v>
      </c>
      <c r="C599" s="1" t="str">
        <f>"ابوطالبي سيد عليرضا"</f>
        <v>ابوطالبي سيد عليرضا</v>
      </c>
      <c r="D599" s="1" t="str">
        <f>"بلوار باهنر شمالي - نبش کوچه 6 ( دراک سراميک ايران )"</f>
        <v>بلوار باهنر شمالي - نبش کوچه 6 ( دراک سراميک ايران )</v>
      </c>
      <c r="E599" s="1" t="s">
        <v>1574</v>
      </c>
    </row>
    <row r="600" spans="1:5">
      <c r="A600" s="1" t="s">
        <v>1441</v>
      </c>
      <c r="B600" s="1" t="str">
        <f>"فيروزآباد"</f>
        <v>فيروزآباد</v>
      </c>
      <c r="C600" s="1" t="str">
        <f>"خاني (فيروزآباد ) علي"</f>
        <v>خاني (فيروزآباد ) علي</v>
      </c>
      <c r="D600" s="1" t="str">
        <f>"بلوار پاسداران - روبروي مجتمع امين"</f>
        <v>بلوار پاسداران - روبروي مجتمع امين</v>
      </c>
      <c r="E600" s="1" t="s">
        <v>1574</v>
      </c>
    </row>
    <row r="601" spans="1:5">
      <c r="A601" s="1" t="s">
        <v>1441</v>
      </c>
      <c r="B601" s="1" t="str">
        <f>"شيراز"</f>
        <v>شيراز</v>
      </c>
      <c r="C601" s="1" t="str">
        <f>"مرتضوي سيد هاشم/قير"</f>
        <v>مرتضوي سيد هاشم/قير</v>
      </c>
      <c r="D601" s="1" t="str">
        <f>"قير"</f>
        <v>قير</v>
      </c>
      <c r="E601" s="1" t="s">
        <v>1574</v>
      </c>
    </row>
    <row r="602" spans="1:5">
      <c r="A602" s="1" t="s">
        <v>1441</v>
      </c>
      <c r="B602" s="1" t="str">
        <f>"شيراز"</f>
        <v>شيراز</v>
      </c>
      <c r="C602" s="1" t="str">
        <f>"رحماني يوسف"</f>
        <v>رحماني يوسف</v>
      </c>
      <c r="D602" s="1" t="str">
        <f>"مشير شرقي(کهنه) - نبش کوچه 17"</f>
        <v>مشير شرقي(کهنه) - نبش کوچه 17</v>
      </c>
      <c r="E602" s="1" t="s">
        <v>1574</v>
      </c>
    </row>
    <row r="603" spans="1:5">
      <c r="A603" s="1" t="s">
        <v>1441</v>
      </c>
      <c r="B603" s="1" t="str">
        <f>"خنج"</f>
        <v>خنج</v>
      </c>
      <c r="C603" s="1" t="str">
        <f>"ابونجمي محمد/خنج"</f>
        <v>ابونجمي محمد/خنج</v>
      </c>
      <c r="D603" s="1" t="str">
        <f>"خنج بلوار بعثت فروشگاه برادران ابونجمي"</f>
        <v>خنج بلوار بعثت فروشگاه برادران ابونجمي</v>
      </c>
      <c r="E603" s="1" t="s">
        <v>1574</v>
      </c>
    </row>
    <row r="604" spans="1:5">
      <c r="A604" s="1" t="s">
        <v>1441</v>
      </c>
      <c r="B604" s="1" t="str">
        <f>"لار"</f>
        <v>لار</v>
      </c>
      <c r="C604" s="1" t="str">
        <f>"مسلماني اكبر /گراش"</f>
        <v>مسلماني اكبر /گراش</v>
      </c>
      <c r="D604" s="1" t="str">
        <f>"گراش-خ کمربندي نبش بلوار کوثر فروشگاه مسلماني"</f>
        <v>گراش-خ کمربندي نبش بلوار کوثر فروشگاه مسلماني</v>
      </c>
      <c r="E604" s="1" t="s">
        <v>1574</v>
      </c>
    </row>
    <row r="605" spans="1:5">
      <c r="A605" s="1" t="s">
        <v>1441</v>
      </c>
      <c r="B605" s="1" t="str">
        <f>"كاكي"</f>
        <v>كاكي</v>
      </c>
      <c r="C605" s="1" t="str">
        <f>"اکبري حسن(کاکي بوشهر)"</f>
        <v>اکبري حسن(کاکي بوشهر)</v>
      </c>
      <c r="D605" s="1" t="str">
        <f>"کاکي خيابان امام خميني فروشگاه لوازم خانگي اکبري"</f>
        <v>کاکي خيابان امام خميني فروشگاه لوازم خانگي اکبري</v>
      </c>
      <c r="E605" s="1" t="s">
        <v>1574</v>
      </c>
    </row>
    <row r="606" spans="1:5">
      <c r="A606" s="1" t="s">
        <v>1441</v>
      </c>
      <c r="B606" s="1" t="str">
        <f>"شيراز"</f>
        <v>شيراز</v>
      </c>
      <c r="C606" s="1" t="str">
        <f>"احمدي شولي ابراهيم"</f>
        <v>احمدي شولي ابراهيم</v>
      </c>
      <c r="D606" s="1" t="str">
        <f>"چهارراه ريشمک روبروي شرکت ريشمک جنب ايستگاه اتوبوس"</f>
        <v>چهارراه ريشمک روبروي شرکت ريشمک جنب ايستگاه اتوبوس</v>
      </c>
      <c r="E606" s="1" t="s">
        <v>1574</v>
      </c>
    </row>
    <row r="607" spans="1:5">
      <c r="A607" s="1" t="s">
        <v>1441</v>
      </c>
      <c r="B607" s="1" t="str">
        <f>"لامرد"</f>
        <v>لامرد</v>
      </c>
      <c r="C607" s="1" t="str">
        <f>"ابراهيمي زاده عليرضا/لامرد"</f>
        <v>ابراهيمي زاده عليرضا/لامرد</v>
      </c>
      <c r="D607" s="1" t="str">
        <f>"بلوار دهخدا- روبروي درمانگاه قائم"</f>
        <v>بلوار دهخدا- روبروي درمانگاه قائم</v>
      </c>
      <c r="E607" s="1" t="s">
        <v>1574</v>
      </c>
    </row>
    <row r="608" spans="1:5">
      <c r="A608" s="1" t="s">
        <v>1441</v>
      </c>
      <c r="B608" s="1" t="str">
        <f>"فارس"</f>
        <v>فارس</v>
      </c>
      <c r="C608" s="1" t="str">
        <f>"رحيميان زهير/لامرد"</f>
        <v>رحيميان زهير/لامرد</v>
      </c>
      <c r="D608" s="1" t="str">
        <f>"باربري معمن زاده محله سيگار فروشگاه زهير"</f>
        <v>باربري معمن زاده محله سيگار فروشگاه زهير</v>
      </c>
      <c r="E608" s="1" t="s">
        <v>1574</v>
      </c>
    </row>
    <row r="609" spans="1:5">
      <c r="A609" s="1" t="s">
        <v>1441</v>
      </c>
      <c r="B609" s="1" t="str">
        <f>"فارس"</f>
        <v>فارس</v>
      </c>
      <c r="C609" s="1" t="str">
        <f>"ابراهيمي حسين/ لامرد"</f>
        <v>ابراهيمي حسين/ لامرد</v>
      </c>
      <c r="D609" s="1" t="str">
        <f>"لامرد بلوار شاهد صنايع فلزي ابراهيمي"</f>
        <v>لامرد بلوار شاهد صنايع فلزي ابراهيمي</v>
      </c>
      <c r="E609" s="1" t="s">
        <v>1574</v>
      </c>
    </row>
    <row r="610" spans="1:5">
      <c r="A610" s="1" t="s">
        <v>1441</v>
      </c>
      <c r="B610" s="1" t="str">
        <f>"لار"</f>
        <v>لار</v>
      </c>
      <c r="C610" s="1" t="str">
        <f>"امينا فرخ(اوزلار)"</f>
        <v>امينا فرخ(اوزلار)</v>
      </c>
      <c r="D610" s="1" t="str">
        <f>"لار - اوز بلوار ابوذر غفاري"</f>
        <v>لار - اوز بلوار ابوذر غفاري</v>
      </c>
      <c r="E610" s="1" t="s">
        <v>1574</v>
      </c>
    </row>
    <row r="611" spans="1:5">
      <c r="A611" s="1" t="s">
        <v>1441</v>
      </c>
      <c r="B611" s="1" t="str">
        <f>"فارس"</f>
        <v>فارس</v>
      </c>
      <c r="C611" s="1" t="str">
        <f>"دري حبيب الله/لار"</f>
        <v>دري حبيب الله/لار</v>
      </c>
      <c r="D611" s="1" t="str">
        <f>"لار شهر قديم-مدرس جنوبي - جنب حسينيه اعظم"</f>
        <v>لار شهر قديم-مدرس جنوبي - جنب حسينيه اعظم</v>
      </c>
      <c r="E611" s="1" t="s">
        <v>1574</v>
      </c>
    </row>
    <row r="612" spans="1:5">
      <c r="A612" s="1" t="s">
        <v>1441</v>
      </c>
      <c r="B612" s="1" t="str">
        <f>"شيراز"</f>
        <v>شيراز</v>
      </c>
      <c r="C612" s="1" t="str">
        <f>"شاکرپور عبدالمجيد/لار"</f>
        <v>شاکرپور عبدالمجيد/لار</v>
      </c>
      <c r="D612" s="1" t="str">
        <f>"لار-شهرجديد 30متري انديشه بلوك سوم جنب دبستان عطاري"</f>
        <v>لار-شهرجديد 30متري انديشه بلوك سوم جنب دبستان عطاري</v>
      </c>
      <c r="E612" s="1" t="s">
        <v>1574</v>
      </c>
    </row>
    <row r="613" spans="1:5">
      <c r="A613" s="1" t="s">
        <v>1441</v>
      </c>
      <c r="B613" s="1" t="str">
        <f>"ياسوج"</f>
        <v>ياسوج</v>
      </c>
      <c r="C613" s="1" t="str">
        <f>"ابراهيمي قاسم"</f>
        <v>ابراهيمي قاسم</v>
      </c>
      <c r="D613" s="1" t="str">
        <f>"فلکه ساعت فروشگاه لوازم ساختماني ابراهيمي"</f>
        <v>فلکه ساعت فروشگاه لوازم ساختماني ابراهيمي</v>
      </c>
      <c r="E613" s="1" t="s">
        <v>1574</v>
      </c>
    </row>
    <row r="614" spans="1:5">
      <c r="A614" s="1" t="s">
        <v>1441</v>
      </c>
      <c r="B614" s="1" t="str">
        <f>"برازجان"</f>
        <v>برازجان</v>
      </c>
      <c r="C614" s="1" t="str">
        <f>"پايدار سامان(براز جان)"</f>
        <v>پايدار سامان(براز جان)</v>
      </c>
      <c r="D614" s="1" t="str">
        <f>"برازجان"</f>
        <v>برازجان</v>
      </c>
      <c r="E614" s="1" t="s">
        <v>1574</v>
      </c>
    </row>
    <row r="615" spans="1:5">
      <c r="A615" s="1" t="s">
        <v>1441</v>
      </c>
      <c r="B615" s="1" t="str">
        <f>"بوشهر"</f>
        <v>بوشهر</v>
      </c>
      <c r="C615" s="1" t="str">
        <f>"بوستاني مهدي/برازجان"</f>
        <v>بوستاني مهدي/برازجان</v>
      </c>
      <c r="D615" s="1" t="str">
        <f>"برازجان - بازار روز  جنب مسجد جنت پخش عمده بازياري"</f>
        <v>برازجان - بازار روز  جنب مسجد جنت پخش عمده بازياري</v>
      </c>
      <c r="E615" s="1" t="s">
        <v>1574</v>
      </c>
    </row>
    <row r="616" spans="1:5">
      <c r="A616" s="1" t="s">
        <v>1441</v>
      </c>
      <c r="B616" s="1" t="str">
        <f>"برازجان"</f>
        <v>برازجان</v>
      </c>
      <c r="C616" s="1" t="str">
        <f>"مرادي عبدالرحمان/برازجان"</f>
        <v>مرادي عبدالرحمان/برازجان</v>
      </c>
      <c r="D616" s="1" t="str">
        <f>"خيابان شريعتي لوازم ساختماني و الکتريکي مرادي"</f>
        <v>خيابان شريعتي لوازم ساختماني و الکتريکي مرادي</v>
      </c>
      <c r="E616" s="1" t="s">
        <v>1574</v>
      </c>
    </row>
    <row r="617" spans="1:5">
      <c r="A617" s="1" t="s">
        <v>1441</v>
      </c>
      <c r="B617" s="1" t="str">
        <f>"بوشهر"</f>
        <v>بوشهر</v>
      </c>
      <c r="C617" s="1" t="str">
        <f>"خزايي علي /آب پخش"</f>
        <v>خزايي علي /آب پخش</v>
      </c>
      <c r="D617" s="1" t="str">
        <f>"آب پخش بلوار انقلاب جنب آتش نشاني مجتمع تجاري مسكوني جمالي"</f>
        <v>آب پخش بلوار انقلاب جنب آتش نشاني مجتمع تجاري مسكوني جمالي</v>
      </c>
      <c r="E617" s="1" t="s">
        <v>1574</v>
      </c>
    </row>
    <row r="618" spans="1:5">
      <c r="A618" s="1" t="s">
        <v>1441</v>
      </c>
      <c r="B618" s="1" t="str">
        <f>"برازجان"</f>
        <v>برازجان</v>
      </c>
      <c r="C618" s="1" t="str">
        <f>"ناصحي مهدي/برازجان"</f>
        <v>ناصحي مهدي/برازجان</v>
      </c>
      <c r="D618" s="1" t="str">
        <f>"خيابان  نماز جمعه فروشگاه ناصحي"</f>
        <v>خيابان  نماز جمعه فروشگاه ناصحي</v>
      </c>
      <c r="E618" s="1" t="s">
        <v>1574</v>
      </c>
    </row>
    <row r="619" spans="1:5">
      <c r="A619" s="1" t="s">
        <v>1441</v>
      </c>
      <c r="B619" s="1" t="str">
        <f>"بندر ديلم"</f>
        <v>بندر ديلم</v>
      </c>
      <c r="C619" s="1" t="str">
        <f>"پيران احسان(بندر ديلم)"</f>
        <v>پيران احسان(بندر ديلم)</v>
      </c>
      <c r="D619" s="1" t="str">
        <f>"ميدان امام خميني دفتر کلينيک ساختماني کارنو"</f>
        <v>ميدان امام خميني دفتر کلينيک ساختماني کارنو</v>
      </c>
      <c r="E619" s="1" t="s">
        <v>1574</v>
      </c>
    </row>
    <row r="620" spans="1:5">
      <c r="A620" s="1" t="s">
        <v>1441</v>
      </c>
      <c r="B620" s="1" t="str">
        <f>"بندر ديلم"</f>
        <v>بندر ديلم</v>
      </c>
      <c r="C620" s="1" t="str">
        <f>"جوکار حسن/بندر ديلم"</f>
        <v>جوکار حسن/بندر ديلم</v>
      </c>
      <c r="D620" s="1" t="str">
        <f>"ديلم خيابان پاسداران فروشگاه جوکار"</f>
        <v>ديلم خيابان پاسداران فروشگاه جوکار</v>
      </c>
      <c r="E620" s="1" t="s">
        <v>1574</v>
      </c>
    </row>
    <row r="621" spans="1:5">
      <c r="A621" s="1" t="s">
        <v>1441</v>
      </c>
      <c r="B621" s="1" t="str">
        <f>"بندر دير"</f>
        <v>بندر دير</v>
      </c>
      <c r="C621" s="1" t="str">
        <f>"دهجان حسن /دير"</f>
        <v>دهجان حسن /دير</v>
      </c>
      <c r="D621" s="1" t="str">
        <f>"دير بلوار شهيدبهشتي لوازم خانگي بهار جنب بيمه معلم"</f>
        <v>دير بلوار شهيدبهشتي لوازم خانگي بهار جنب بيمه معلم</v>
      </c>
      <c r="E621" s="1" t="s">
        <v>1574</v>
      </c>
    </row>
    <row r="622" spans="1:5">
      <c r="A622" s="1" t="s">
        <v>1441</v>
      </c>
      <c r="B622" s="1" t="str">
        <f>"بوشهر"</f>
        <v>بوشهر</v>
      </c>
      <c r="C622" s="1" t="str">
        <f>"گزدرازي موسي /چغادك"</f>
        <v>گزدرازي موسي /چغادك</v>
      </c>
      <c r="D622" s="1" t="str">
        <f>"چغادك نرسيده به بهداري جنب الكتريكي اديسون"</f>
        <v>چغادك نرسيده به بهداري جنب الكتريكي اديسون</v>
      </c>
      <c r="E622" s="1" t="s">
        <v>1574</v>
      </c>
    </row>
    <row r="623" spans="1:5">
      <c r="A623" s="1" t="s">
        <v>1441</v>
      </c>
      <c r="B623" s="1" t="str">
        <f>"خورموج"</f>
        <v>خورموج</v>
      </c>
      <c r="C623" s="1" t="str">
        <f>"غريبي فرهاد /خورموج"</f>
        <v>غريبي فرهاد /خورموج</v>
      </c>
      <c r="D623" s="1" t="str">
        <f>"ميدان شهيد مهدوي شرق بانک ملي فروشگاه صدف"</f>
        <v>ميدان شهيد مهدوي شرق بانک ملي فروشگاه صدف</v>
      </c>
      <c r="E623" s="1" t="s">
        <v>1574</v>
      </c>
    </row>
    <row r="624" spans="1:5">
      <c r="A624" s="1" t="s">
        <v>1441</v>
      </c>
      <c r="B624" s="1" t="str">
        <f>"کنگان"</f>
        <v>کنگان</v>
      </c>
      <c r="C624" s="1" t="str">
        <f>"منفرد ايوب / كنگان"</f>
        <v>منفرد ايوب / كنگان</v>
      </c>
      <c r="D624" s="1" t="str">
        <f>"خيابان آزادي"</f>
        <v>خيابان آزادي</v>
      </c>
      <c r="E624" s="1" t="s">
        <v>1574</v>
      </c>
    </row>
    <row r="625" spans="1:5">
      <c r="A625" s="1" t="s">
        <v>1441</v>
      </c>
      <c r="B625" s="1" t="str">
        <f>"بوشهر"</f>
        <v>بوشهر</v>
      </c>
      <c r="C625" s="1" t="str">
        <f>"کليني غلامرضا(بوشهر)"</f>
        <v>کليني غلامرضا(بوشهر)</v>
      </c>
      <c r="D625" s="1" t="str">
        <f>"خيابان صفوي - فروشگاه اتحاد"</f>
        <v>خيابان صفوي - فروشگاه اتحاد</v>
      </c>
      <c r="E625" s="1" t="s">
        <v>1574</v>
      </c>
    </row>
    <row r="626" spans="1:5">
      <c r="A626" s="1" t="s">
        <v>1441</v>
      </c>
      <c r="B626" s="1" t="str">
        <f>"بوشهر"</f>
        <v>بوشهر</v>
      </c>
      <c r="C626" s="1" t="str">
        <f>"سرخي رضا(بوشهر)"</f>
        <v>سرخي رضا(بوشهر)</v>
      </c>
      <c r="D626" s="1" t="str">
        <f>"بوشهر -خيابان بهشت صادق تجهيزات آشپزخانه سرخي"</f>
        <v>بوشهر -خيابان بهشت صادق تجهيزات آشپزخانه سرخي</v>
      </c>
      <c r="E626" s="1" t="s">
        <v>1574</v>
      </c>
    </row>
    <row r="627" spans="1:5">
      <c r="A627" s="1" t="s">
        <v>1441</v>
      </c>
      <c r="B627" s="1" t="str">
        <f>"عالي شهر"</f>
        <v>عالي شهر</v>
      </c>
      <c r="C627" s="1" t="str">
        <f>"شجاعي مرتضي/عالي شهر"</f>
        <v>شجاعي مرتضي/عالي شهر</v>
      </c>
      <c r="D627" s="1" t="str">
        <f>"سه راهي عالي شهر فروشگاه شجاعي"</f>
        <v>سه راهي عالي شهر فروشگاه شجاعي</v>
      </c>
      <c r="E627" s="1" t="s">
        <v>1574</v>
      </c>
    </row>
    <row r="628" spans="1:5">
      <c r="A628" s="1" t="s">
        <v>1441</v>
      </c>
      <c r="B628" s="1" t="str">
        <f t="shared" ref="B628:B633" si="4">"بوشهر"</f>
        <v>بوشهر</v>
      </c>
      <c r="C628" s="1" t="str">
        <f>"صغيري كاظم /بوشهر"</f>
        <v>صغيري كاظم /بوشهر</v>
      </c>
      <c r="D628" s="1" t="str">
        <f>"خيابان بهشت صادق روبروي پارک آزادگان فروشگاه گاز صغيري"</f>
        <v>خيابان بهشت صادق روبروي پارک آزادگان فروشگاه گاز صغيري</v>
      </c>
      <c r="E628" s="1" t="s">
        <v>1574</v>
      </c>
    </row>
    <row r="629" spans="1:5">
      <c r="A629" s="1" t="s">
        <v>1441</v>
      </c>
      <c r="B629" s="1" t="str">
        <f t="shared" si="4"/>
        <v>بوشهر</v>
      </c>
      <c r="C629" s="1" t="str">
        <f>"حاجيان محسن /بوشهر"</f>
        <v>حاجيان محسن /بوشهر</v>
      </c>
      <c r="D629" s="1" t="str">
        <f>"خيابان شهيد رجايي خيابان آتش نشاني"</f>
        <v>خيابان شهيد رجايي خيابان آتش نشاني</v>
      </c>
      <c r="E629" s="1" t="s">
        <v>1574</v>
      </c>
    </row>
    <row r="630" spans="1:5">
      <c r="A630" s="1" t="s">
        <v>1441</v>
      </c>
      <c r="B630" s="1" t="str">
        <f t="shared" si="4"/>
        <v>بوشهر</v>
      </c>
      <c r="C630" s="1" t="str">
        <f>"کللي محمد مهدي /بوشهر"</f>
        <v>کللي محمد مهدي /بوشهر</v>
      </c>
      <c r="D630" s="1" t="str">
        <f>"خيابان سبز آباد بعد از موزه دريا نوردي روبروي دکل مخابرات نيروي دريايي ارتش"</f>
        <v>خيابان سبز آباد بعد از موزه دريا نوردي روبروي دکل مخابرات نيروي دريايي ارتش</v>
      </c>
      <c r="E630" s="1" t="s">
        <v>1574</v>
      </c>
    </row>
    <row r="631" spans="1:5">
      <c r="A631" s="1" t="s">
        <v>1441</v>
      </c>
      <c r="B631" s="1" t="str">
        <f t="shared" si="4"/>
        <v>بوشهر</v>
      </c>
      <c r="C631" s="1" t="str">
        <f>"كرمي اسماعيل/بوشهر"</f>
        <v>كرمي اسماعيل/بوشهر</v>
      </c>
      <c r="D631" s="1" t="str">
        <f>"خيابان صلح آباد جنب يخ فريدوني فروشگاه توسکا"</f>
        <v>خيابان صلح آباد جنب يخ فريدوني فروشگاه توسکا</v>
      </c>
      <c r="E631" s="1" t="s">
        <v>1574</v>
      </c>
    </row>
    <row r="632" spans="1:5">
      <c r="A632" s="1" t="s">
        <v>1441</v>
      </c>
      <c r="B632" s="1" t="str">
        <f t="shared" si="4"/>
        <v>بوشهر</v>
      </c>
      <c r="C632" s="1" t="str">
        <f>"طلايي مصطفي/بوشهر"</f>
        <v>طلايي مصطفي/بوشهر</v>
      </c>
      <c r="D632" s="1" t="str">
        <f>"خيابان سبز آباد لوله فروشي طلايي"</f>
        <v>خيابان سبز آباد لوله فروشي طلايي</v>
      </c>
      <c r="E632" s="1" t="s">
        <v>1574</v>
      </c>
    </row>
    <row r="633" spans="1:5">
      <c r="A633" s="1" t="s">
        <v>1441</v>
      </c>
      <c r="B633" s="1" t="str">
        <f t="shared" si="4"/>
        <v>بوشهر</v>
      </c>
      <c r="C633" s="1" t="str">
        <f>"اسلامي عباس/بوشهر"</f>
        <v>اسلامي عباس/بوشهر</v>
      </c>
      <c r="D633" s="1" t="str">
        <f>"خيابان شهيد مطهري بعد از سه راه هلالي نبش كوچه عرفان 13فروشگاه امين"</f>
        <v>خيابان شهيد مطهري بعد از سه راه هلالي نبش كوچه عرفان 13فروشگاه امين</v>
      </c>
      <c r="E633" s="1" t="s">
        <v>1574</v>
      </c>
    </row>
    <row r="634" spans="1:5">
      <c r="A634" s="1" t="s">
        <v>1441</v>
      </c>
      <c r="B634" s="1" t="str">
        <f>"شيراز"</f>
        <v>شيراز</v>
      </c>
      <c r="C634" s="1" t="str">
        <f>"خسرواني سعيد"</f>
        <v>خسرواني سعيد</v>
      </c>
      <c r="D634" s="1" t="str">
        <f>"شهرک صنعتي بزرگ شيراز"</f>
        <v>شهرک صنعتي بزرگ شيراز</v>
      </c>
      <c r="E634" s="1" t="s">
        <v>1574</v>
      </c>
    </row>
    <row r="635" spans="1:5">
      <c r="A635" s="1" t="s">
        <v>1441</v>
      </c>
      <c r="B635" s="1" t="str">
        <f>"صفاشهر"</f>
        <v>صفاشهر</v>
      </c>
      <c r="C635" s="1" t="str">
        <f>"طيبي احمدرضا/صفاشهر"</f>
        <v>طيبي احمدرضا/صفاشهر</v>
      </c>
      <c r="D635" s="1" t="str">
        <f>"ناحيه 2 ميدان امام"</f>
        <v>ناحيه 2 ميدان امام</v>
      </c>
      <c r="E635" s="1" t="s">
        <v>1574</v>
      </c>
    </row>
    <row r="636" spans="1:5">
      <c r="A636" s="1" t="s">
        <v>1441</v>
      </c>
      <c r="B636" s="1" t="str">
        <f>"اقليد"</f>
        <v>اقليد</v>
      </c>
      <c r="C636" s="1" t="str">
        <f>"مومني محمدرضا(اقليد)"</f>
        <v>مومني محمدرضا(اقليد)</v>
      </c>
      <c r="D636" s="1" t="str">
        <f>"خيابان طالقاني فروشگاه همگام"</f>
        <v>خيابان طالقاني فروشگاه همگام</v>
      </c>
      <c r="E636" s="1" t="s">
        <v>1574</v>
      </c>
    </row>
    <row r="637" spans="1:5">
      <c r="A637" s="1" t="s">
        <v>1441</v>
      </c>
      <c r="B637" s="1" t="str">
        <f>"اقليد"</f>
        <v>اقليد</v>
      </c>
      <c r="C637" s="1" t="str">
        <f>"راسخ حيدر/اقليد"</f>
        <v>راسخ حيدر/اقليد</v>
      </c>
      <c r="D637" s="1" t="str">
        <f>"اقليد بلوار استاد مطهري فروشگاه کاشي و سراميک راسخ"</f>
        <v>اقليد بلوار استاد مطهري فروشگاه کاشي و سراميک راسخ</v>
      </c>
      <c r="E637" s="1" t="s">
        <v>1574</v>
      </c>
    </row>
    <row r="638" spans="1:5">
      <c r="A638" s="1" t="s">
        <v>1441</v>
      </c>
      <c r="B638" s="1" t="str">
        <f>"آباده"</f>
        <v>آباده</v>
      </c>
      <c r="C638" s="1" t="str">
        <f>"حشمت نيا فاطمه(آباده)"</f>
        <v>حشمت نيا فاطمه(آباده)</v>
      </c>
      <c r="D638" s="1" t="str">
        <f>"آباده -اول خ عاشوراروبروي مدرسه فرهنگيان فروشگاه يزدانپناهي"</f>
        <v>آباده -اول خ عاشوراروبروي مدرسه فرهنگيان فروشگاه يزدانپناهي</v>
      </c>
      <c r="E638" s="1" t="s">
        <v>1574</v>
      </c>
    </row>
    <row r="639" spans="1:5">
      <c r="A639" s="1" t="s">
        <v>1441</v>
      </c>
      <c r="B639" s="1" t="str">
        <f>"آباده"</f>
        <v>آباده</v>
      </c>
      <c r="C639" s="1" t="str">
        <f>"ترابي احمد /آباده"</f>
        <v>ترابي احمد /آباده</v>
      </c>
      <c r="D639" s="1" t="str">
        <f>"انتهاي خيابان سعدي تاسيسات فني ترابي"</f>
        <v>انتهاي خيابان سعدي تاسيسات فني ترابي</v>
      </c>
      <c r="E639" s="1" t="s">
        <v>1574</v>
      </c>
    </row>
    <row r="640" spans="1:5">
      <c r="A640" s="1" t="s">
        <v>1441</v>
      </c>
      <c r="B640" s="1" t="str">
        <f>"دهدشت"</f>
        <v>دهدشت</v>
      </c>
      <c r="C640" s="1" t="str">
        <f>"آباد ارسلان(دهدشت)"</f>
        <v>آباد ارسلان(دهدشت)</v>
      </c>
      <c r="D640" s="1" t="str">
        <f>"خيابان جانبازان"</f>
        <v>خيابان جانبازان</v>
      </c>
      <c r="E640" s="1" t="s">
        <v>1574</v>
      </c>
    </row>
    <row r="641" spans="1:5">
      <c r="A641" s="1" t="s">
        <v>1441</v>
      </c>
      <c r="B641" s="1" t="str">
        <f>"دهدشت"</f>
        <v>دهدشت</v>
      </c>
      <c r="C641" s="1" t="str">
        <f>"چرامين ضرغام/دهدشت"</f>
        <v>چرامين ضرغام/دهدشت</v>
      </c>
      <c r="D641" s="1" t="str">
        <f>"دهدشت خ شهيد نور الديني جنب بانک مسکن"</f>
        <v>دهدشت خ شهيد نور الديني جنب بانک مسکن</v>
      </c>
      <c r="E641" s="1" t="s">
        <v>1574</v>
      </c>
    </row>
    <row r="642" spans="1:5">
      <c r="A642" s="1" t="s">
        <v>1441</v>
      </c>
      <c r="B642" s="1" t="str">
        <f>"کهگيلويه و بوير احمد"</f>
        <v>کهگيلويه و بوير احمد</v>
      </c>
      <c r="C642" s="1" t="str">
        <f>"علوي نژاد احمد/دهدشت"</f>
        <v>علوي نژاد احمد/دهدشت</v>
      </c>
      <c r="D642" s="1" t="str">
        <f>"دهدشت کمربندي اول کارخانه يخ قديم جنب رستوران آريو برزن"</f>
        <v>دهدشت کمربندي اول کارخانه يخ قديم جنب رستوران آريو برزن</v>
      </c>
      <c r="E642" s="1" t="s">
        <v>1574</v>
      </c>
    </row>
    <row r="643" spans="1:5">
      <c r="A643" s="1" t="s">
        <v>1441</v>
      </c>
      <c r="B643" s="1" t="str">
        <f>"کهگيلويه و بوير احمد"</f>
        <v>کهگيلويه و بوير احمد</v>
      </c>
      <c r="C643" s="1" t="str">
        <f>"شجايي دادالله/گجساران"</f>
        <v>شجايي دادالله/گجساران</v>
      </c>
      <c r="D643" s="1" t="str">
        <f>"گچساران بلوار ولي عصر روبروي ترمينال لوازم ابزار ساختماني شجايي"</f>
        <v>گچساران بلوار ولي عصر روبروي ترمينال لوازم ابزار ساختماني شجايي</v>
      </c>
      <c r="E643" s="1" t="s">
        <v>1574</v>
      </c>
    </row>
    <row r="644" spans="1:5">
      <c r="A644" s="1" t="s">
        <v>1441</v>
      </c>
      <c r="B644" s="1" t="str">
        <f t="shared" ref="B644:B653" si="5">"ياسوج"</f>
        <v>ياسوج</v>
      </c>
      <c r="C644" s="1" t="str">
        <f>"چراغي بابک(ياسوج)"</f>
        <v>چراغي بابک(ياسوج)</v>
      </c>
      <c r="D644" s="1" t="str">
        <f>"چهارراه حلال احمر روبروي کوچه شفاعت 1 فروشگاه بوتان"</f>
        <v>چهارراه حلال احمر روبروي کوچه شفاعت 1 فروشگاه بوتان</v>
      </c>
      <c r="E644" s="1" t="s">
        <v>1574</v>
      </c>
    </row>
    <row r="645" spans="1:5">
      <c r="A645" s="1" t="s">
        <v>1441</v>
      </c>
      <c r="B645" s="1" t="str">
        <f t="shared" si="5"/>
        <v>ياسوج</v>
      </c>
      <c r="C645" s="1" t="str">
        <f>"ابراهيم پور احمد(ياسوج)"</f>
        <v>ابراهيم پور احمد(ياسوج)</v>
      </c>
      <c r="D645" s="1" t="str">
        <f>"چهارراه عدل - اول سي متري شهداي تل زالي"</f>
        <v>چهارراه عدل - اول سي متري شهداي تل زالي</v>
      </c>
      <c r="E645" s="1" t="s">
        <v>1574</v>
      </c>
    </row>
    <row r="646" spans="1:5">
      <c r="A646" s="1" t="s">
        <v>1441</v>
      </c>
      <c r="B646" s="1" t="str">
        <f t="shared" si="5"/>
        <v>ياسوج</v>
      </c>
      <c r="C646" s="1" t="str">
        <f>"صابري سيروس/ياسوج"</f>
        <v>صابري سيروس/ياسوج</v>
      </c>
      <c r="D646" s="1" t="str">
        <f>"خ60 متري نرسيده به ميدان عدل جنب آموزشگاه رانندگي علوي"</f>
        <v>خ60 متري نرسيده به ميدان عدل جنب آموزشگاه رانندگي علوي</v>
      </c>
      <c r="E646" s="1" t="s">
        <v>1574</v>
      </c>
    </row>
    <row r="647" spans="1:5">
      <c r="A647" s="1" t="s">
        <v>1441</v>
      </c>
      <c r="B647" s="1" t="str">
        <f t="shared" si="5"/>
        <v>ياسوج</v>
      </c>
      <c r="C647" s="1" t="str">
        <f>"افشون سليمان /ياسوج"</f>
        <v>افشون سليمان /ياسوج</v>
      </c>
      <c r="D647" s="1" t="str">
        <f>"بلوار مطهري روبروي شهداي 3 جنب  بانك تجارت"</f>
        <v>بلوار مطهري روبروي شهداي 3 جنب  بانك تجارت</v>
      </c>
      <c r="E647" s="1" t="s">
        <v>1574</v>
      </c>
    </row>
    <row r="648" spans="1:5">
      <c r="A648" s="1" t="s">
        <v>1441</v>
      </c>
      <c r="B648" s="1" t="str">
        <f t="shared" si="5"/>
        <v>ياسوج</v>
      </c>
      <c r="C648" s="1" t="str">
        <f>"ابراهيمي روح اله/ياسوج"</f>
        <v>ابراهيمي روح اله/ياسوج</v>
      </c>
      <c r="D648" s="1" t="str">
        <f>"ياسوج فلکه ساعت فروشگاه ابراهيمي"</f>
        <v>ياسوج فلکه ساعت فروشگاه ابراهيمي</v>
      </c>
      <c r="E648" s="1" t="s">
        <v>1574</v>
      </c>
    </row>
    <row r="649" spans="1:5">
      <c r="A649" s="1" t="s">
        <v>1441</v>
      </c>
      <c r="B649" s="1" t="str">
        <f t="shared" si="5"/>
        <v>ياسوج</v>
      </c>
      <c r="C649" s="1" t="str">
        <f>"ابراهيمي گشتاسب/ياسوج"</f>
        <v>ابراهيمي گشتاسب/ياسوج</v>
      </c>
      <c r="D649" s="1" t="str">
        <f>"ياسوج ميدان ساعت فروشگاه ابراهيمي"</f>
        <v>ياسوج ميدان ساعت فروشگاه ابراهيمي</v>
      </c>
      <c r="E649" s="1" t="s">
        <v>1574</v>
      </c>
    </row>
    <row r="650" spans="1:5">
      <c r="A650" s="1" t="s">
        <v>1441</v>
      </c>
      <c r="B650" s="1" t="str">
        <f t="shared" si="5"/>
        <v>ياسوج</v>
      </c>
      <c r="C650" s="1" t="str">
        <f>"محسن خواه سعيد/ياسوج"</f>
        <v>محسن خواه سعيد/ياسوج</v>
      </c>
      <c r="D650" s="1" t="str">
        <f>"ياسوج چ حلال احمر خ شهيد منتظري نبش شفاعت 1 کلينيک ساختماني امين"</f>
        <v>ياسوج چ حلال احمر خ شهيد منتظري نبش شفاعت 1 کلينيک ساختماني امين</v>
      </c>
      <c r="E650" s="1" t="s">
        <v>1574</v>
      </c>
    </row>
    <row r="651" spans="1:5">
      <c r="A651" s="1" t="s">
        <v>1441</v>
      </c>
      <c r="B651" s="1" t="str">
        <f t="shared" si="5"/>
        <v>ياسوج</v>
      </c>
      <c r="C651" s="1" t="str">
        <f>"شاكري صادق/ياسوج"</f>
        <v>شاكري صادق/ياسوج</v>
      </c>
      <c r="D651" s="1" t="str">
        <f>"ياسوج بلوار مطهري روبروي شهداي 2"</f>
        <v>ياسوج بلوار مطهري روبروي شهداي 2</v>
      </c>
      <c r="E651" s="1" t="s">
        <v>1574</v>
      </c>
    </row>
    <row r="652" spans="1:5">
      <c r="A652" s="1" t="s">
        <v>1441</v>
      </c>
      <c r="B652" s="1" t="str">
        <f t="shared" si="5"/>
        <v>ياسوج</v>
      </c>
      <c r="C652" s="1" t="str">
        <f>"سعيدي فرد مصطفي/ياسوج"</f>
        <v>سعيدي فرد مصطفي/ياسوج</v>
      </c>
      <c r="D652" s="1" t="str">
        <f>"ياسوج خيابان مطهري بين شهداي 6و7 نرسيده به انتقال خون فروشگاه زاگرس"</f>
        <v>ياسوج خيابان مطهري بين شهداي 6و7 نرسيده به انتقال خون فروشگاه زاگرس</v>
      </c>
      <c r="E652" s="1" t="s">
        <v>1574</v>
      </c>
    </row>
    <row r="653" spans="1:5">
      <c r="A653" s="1" t="s">
        <v>1441</v>
      </c>
      <c r="B653" s="1" t="str">
        <f t="shared" si="5"/>
        <v>ياسوج</v>
      </c>
      <c r="C653" s="1" t="str">
        <f>"ذوالفقاري نوراله/ ياسوج"</f>
        <v>ذوالفقاري نوراله/ ياسوج</v>
      </c>
      <c r="D653" s="1" t="str">
        <f>"ياسوج خيابان مطهري روبروي شهداي 2 فروشگاه ذوالفقاري"</f>
        <v>ياسوج خيابان مطهري روبروي شهداي 2 فروشگاه ذوالفقاري</v>
      </c>
      <c r="E653" s="1" t="s">
        <v>1574</v>
      </c>
    </row>
    <row r="654" spans="1:5">
      <c r="A654" s="1" t="s">
        <v>1441</v>
      </c>
      <c r="B654" s="1" t="str">
        <f>"داراب"</f>
        <v>داراب</v>
      </c>
      <c r="C654" s="1" t="str">
        <f>"زارع حسن /داراب"</f>
        <v>زارع حسن /داراب</v>
      </c>
      <c r="D654" s="1" t="str">
        <f>"بلوار امام خميني خ هجرت لوازم ساختماني حاج حسن زارع"</f>
        <v>بلوار امام خميني خ هجرت لوازم ساختماني حاج حسن زارع</v>
      </c>
      <c r="E654" s="1" t="s">
        <v>1574</v>
      </c>
    </row>
    <row r="655" spans="1:5">
      <c r="A655" s="1" t="s">
        <v>1441</v>
      </c>
      <c r="B655" s="1" t="str">
        <f>"جهرم"</f>
        <v>جهرم</v>
      </c>
      <c r="C655" s="1" t="str">
        <f>"آشيان ابوذر /جهرم"</f>
        <v>آشيان ابوذر /جهرم</v>
      </c>
      <c r="D655" s="1" t="str">
        <f>"دليران خ امام خميني لوله وبرق قائم"</f>
        <v>دليران خ امام خميني لوله وبرق قائم</v>
      </c>
      <c r="E655" s="1" t="s">
        <v>1574</v>
      </c>
    </row>
    <row r="656" spans="1:5">
      <c r="A656" s="1" t="s">
        <v>1441</v>
      </c>
      <c r="B656" s="1" t="str">
        <f>"داراب"</f>
        <v>داراب</v>
      </c>
      <c r="C656" s="1" t="str">
        <f>"صبور محمد حسين /داراب"</f>
        <v>صبور محمد حسين /داراب</v>
      </c>
      <c r="D656" s="1" t="str">
        <f>"خيابان سلمان فارسي دکوراسيون آشپزخانه نمونه"</f>
        <v>خيابان سلمان فارسي دکوراسيون آشپزخانه نمونه</v>
      </c>
      <c r="E656" s="1" t="s">
        <v>1574</v>
      </c>
    </row>
    <row r="657" spans="1:5">
      <c r="A657" s="1" t="s">
        <v>1441</v>
      </c>
      <c r="B657" s="1" t="str">
        <f>"فارس"</f>
        <v>فارس</v>
      </c>
      <c r="C657" s="1" t="str">
        <f>"مقدسي اصغر/داراب"</f>
        <v>مقدسي اصغر/داراب</v>
      </c>
      <c r="D657" s="1" t="str">
        <f>"جنت شهر بلوار امام جنب شركت آبرساني اميد"</f>
        <v>جنت شهر بلوار امام جنب شركت آبرساني اميد</v>
      </c>
      <c r="E657" s="1" t="s">
        <v>1574</v>
      </c>
    </row>
    <row r="658" spans="1:5">
      <c r="A658" s="1" t="s">
        <v>1441</v>
      </c>
      <c r="B658" s="1" t="str">
        <f>"داراب"</f>
        <v>داراب</v>
      </c>
      <c r="C658" s="1" t="str">
        <f>"گودرزي-داراب عليرضا"</f>
        <v>گودرزي-داراب عليرضا</v>
      </c>
      <c r="D658" s="1" t="str">
        <f>"بلوار امام نرسيده به کارخانه يخ جنب بانک ملت فروشگاه گستر منش"</f>
        <v>بلوار امام نرسيده به کارخانه يخ جنب بانک ملت فروشگاه گستر منش</v>
      </c>
      <c r="E658" s="1" t="s">
        <v>1574</v>
      </c>
    </row>
    <row r="659" spans="1:5">
      <c r="A659" s="1" t="s">
        <v>1441</v>
      </c>
      <c r="B659" s="1" t="str">
        <f>"فسا"</f>
        <v>فسا</v>
      </c>
      <c r="C659" s="1" t="str">
        <f>"جعفرزاده محسن(فسا)"</f>
        <v>جعفرزاده محسن(فسا)</v>
      </c>
      <c r="D659" s="1" t="str">
        <f>"خيابان امام خميني نرسيده به فلکه سينما کابينت سازي جعفرزاده"</f>
        <v>خيابان امام خميني نرسيده به فلکه سينما کابينت سازي جعفرزاده</v>
      </c>
      <c r="E659" s="1" t="s">
        <v>1574</v>
      </c>
    </row>
    <row r="660" spans="1:5">
      <c r="A660" s="1" t="s">
        <v>1441</v>
      </c>
      <c r="B660" s="1" t="str">
        <f>"فسا"</f>
        <v>فسا</v>
      </c>
      <c r="C660" s="1" t="str">
        <f>"ترابي احمد(فسا)"</f>
        <v>ترابي احمد(فسا)</v>
      </c>
      <c r="D660" s="1" t="str">
        <f>"ميدان غدير"</f>
        <v>ميدان غدير</v>
      </c>
      <c r="E660" s="1" t="s">
        <v>1574</v>
      </c>
    </row>
    <row r="661" spans="1:5">
      <c r="A661" s="1" t="s">
        <v>1441</v>
      </c>
      <c r="B661" s="1" t="str">
        <f>"فسا"</f>
        <v>فسا</v>
      </c>
      <c r="C661" s="1" t="str">
        <f>"يزدانپناهي ميثم/فسا"</f>
        <v>يزدانپناهي ميثم/فسا</v>
      </c>
      <c r="D661" s="1" t="str">
        <f>"ميدان مصلي خيابان شهيد بهشتي جنب تاکسي تلفني مصلي"</f>
        <v>ميدان مصلي خيابان شهيد بهشتي جنب تاکسي تلفني مصلي</v>
      </c>
      <c r="E661" s="1" t="s">
        <v>1574</v>
      </c>
    </row>
    <row r="662" spans="1:5">
      <c r="A662" s="1" t="s">
        <v>1441</v>
      </c>
      <c r="B662" s="1" t="str">
        <f>"مرودشت"</f>
        <v>مرودشت</v>
      </c>
      <c r="C662" s="1" t="str">
        <f>"عباسي عليرضا(مرودشت)"</f>
        <v>عباسي عليرضا(مرودشت)</v>
      </c>
      <c r="D662" s="1" t="str">
        <f>"خيابان قدس فروشگاه عباسي"</f>
        <v>خيابان قدس فروشگاه عباسي</v>
      </c>
      <c r="E662" s="1" t="s">
        <v>1574</v>
      </c>
    </row>
    <row r="663" spans="1:5">
      <c r="A663" s="1" t="s">
        <v>1441</v>
      </c>
      <c r="B663" s="1" t="str">
        <f>"مرودشت"</f>
        <v>مرودشت</v>
      </c>
      <c r="C663" s="1" t="str">
        <f>"کياني محمدعلي(مرودشت)"</f>
        <v>کياني محمدعلي(مرودشت)</v>
      </c>
      <c r="D663" s="1" t="str">
        <f>"بلوار 60 متري"</f>
        <v>بلوار 60 متري</v>
      </c>
      <c r="E663" s="1" t="s">
        <v>1574</v>
      </c>
    </row>
    <row r="664" spans="1:5">
      <c r="A664" s="1" t="s">
        <v>1441</v>
      </c>
      <c r="B664" s="1" t="str">
        <f>"مرودشت"</f>
        <v>مرودشت</v>
      </c>
      <c r="C664" s="1" t="str">
        <f>"شاه نعمت الهي سيد حسن/مرودشت"</f>
        <v>شاه نعمت الهي سيد حسن/مرودشت</v>
      </c>
      <c r="D664" s="1" t="str">
        <f>"نبش چهارراه آريا کابنت قصر"</f>
        <v>نبش چهارراه آريا کابنت قصر</v>
      </c>
      <c r="E664" s="1" t="s">
        <v>1574</v>
      </c>
    </row>
    <row r="665" spans="1:5">
      <c r="A665" s="1" t="s">
        <v>1441</v>
      </c>
      <c r="B665" s="1" t="str">
        <f t="shared" ref="B665:B670" si="6">"كازرون"</f>
        <v>كازرون</v>
      </c>
      <c r="C665" s="1" t="str">
        <f>"جامعي عليرضا(کازرون)"</f>
        <v>جامعي عليرضا(کازرون)</v>
      </c>
      <c r="D665" s="1" t="str">
        <f>"خيابان شريعتي روبروي دبيرستان بستانپور"</f>
        <v>خيابان شريعتي روبروي دبيرستان بستانپور</v>
      </c>
      <c r="E665" s="1" t="s">
        <v>1574</v>
      </c>
    </row>
    <row r="666" spans="1:5">
      <c r="A666" s="1" t="s">
        <v>1441</v>
      </c>
      <c r="B666" s="1" t="str">
        <f t="shared" si="6"/>
        <v>كازرون</v>
      </c>
      <c r="C666" s="1" t="str">
        <f>"طبيبي فرد (کازرون)"</f>
        <v>طبيبي فرد (کازرون)</v>
      </c>
      <c r="D666" s="1" t="str">
        <f>"ميدان فلسطين (فلکه سيد محمد نوربخش) فروشگاه جنرال کابينت"</f>
        <v>ميدان فلسطين (فلکه سيد محمد نوربخش) فروشگاه جنرال کابينت</v>
      </c>
      <c r="E666" s="1" t="s">
        <v>1574</v>
      </c>
    </row>
    <row r="667" spans="1:5">
      <c r="A667" s="1" t="s">
        <v>1441</v>
      </c>
      <c r="B667" s="1" t="str">
        <f t="shared" si="6"/>
        <v>كازرون</v>
      </c>
      <c r="C667" s="1" t="str">
        <f>"ايماني عباس(کازرون)"</f>
        <v>ايماني عباس(کازرون)</v>
      </c>
      <c r="D667" s="1" t="str">
        <f>"خيابان ابواسحاق غربي نبش کوچه توتون چي"</f>
        <v>خيابان ابواسحاق غربي نبش کوچه توتون چي</v>
      </c>
      <c r="E667" s="1" t="s">
        <v>1574</v>
      </c>
    </row>
    <row r="668" spans="1:5">
      <c r="A668" s="1" t="s">
        <v>1441</v>
      </c>
      <c r="B668" s="1" t="str">
        <f t="shared" si="6"/>
        <v>كازرون</v>
      </c>
      <c r="C668" s="1" t="str">
        <f>"صنعتي محمد/كازرون"</f>
        <v>صنعتي محمد/كازرون</v>
      </c>
      <c r="D668" s="1" t="str">
        <f>"خيابان قدمگاه بالاتر از مدرسه تقوا فروشگاه يوکسلن"</f>
        <v>خيابان قدمگاه بالاتر از مدرسه تقوا فروشگاه يوکسلن</v>
      </c>
      <c r="E668" s="1" t="s">
        <v>1574</v>
      </c>
    </row>
    <row r="669" spans="1:5">
      <c r="A669" s="1" t="s">
        <v>1441</v>
      </c>
      <c r="B669" s="1" t="str">
        <f t="shared" si="6"/>
        <v>كازرون</v>
      </c>
      <c r="C669" s="1" t="str">
        <f>"صنعتي عبدالله/کازرون"</f>
        <v>صنعتي عبدالله/کازرون</v>
      </c>
      <c r="D669" s="1" t="str">
        <f>"خيابان شهداي شمالي جنب مخابرات"</f>
        <v>خيابان شهداي شمالي جنب مخابرات</v>
      </c>
      <c r="E669" s="1" t="s">
        <v>1574</v>
      </c>
    </row>
    <row r="670" spans="1:5">
      <c r="A670" s="1" t="s">
        <v>1441</v>
      </c>
      <c r="B670" s="1" t="str">
        <f t="shared" si="6"/>
        <v>كازرون</v>
      </c>
      <c r="C670" s="1" t="str">
        <f>"رمضاني حسين/كازرون"</f>
        <v>رمضاني حسين/كازرون</v>
      </c>
      <c r="D670" s="1" t="str">
        <f>"خيابان شهداي شمالي جنب داروخانه اردشير فروشگاه شعله نما"</f>
        <v>خيابان شهداي شمالي جنب داروخانه اردشير فروشگاه شعله نما</v>
      </c>
      <c r="E670" s="1" t="s">
        <v>1574</v>
      </c>
    </row>
    <row r="671" spans="1:5">
      <c r="A671" s="1" t="s">
        <v>1441</v>
      </c>
      <c r="B671" s="1" t="str">
        <f>"شيراز"</f>
        <v>شيراز</v>
      </c>
      <c r="C671" s="1" t="str">
        <f>"نجاتي محمد جواد"</f>
        <v>نجاتي محمد جواد</v>
      </c>
      <c r="D671" s="1" t="str">
        <f>"بلوار ابوذر غفاري 20متري برق"</f>
        <v>بلوار ابوذر غفاري 20متري برق</v>
      </c>
      <c r="E671" s="1" t="s">
        <v>1574</v>
      </c>
    </row>
    <row r="672" spans="1:5">
      <c r="A672" s="1" t="s">
        <v>1441</v>
      </c>
      <c r="B672" s="1" t="str">
        <f>"شيراز"</f>
        <v>شيراز</v>
      </c>
      <c r="C672" s="1" t="str">
        <f>"حسين زاده فرد رضا"</f>
        <v>حسين زاده فرد رضا</v>
      </c>
      <c r="D672" s="1" t="str">
        <f>"ابتداي بلوار عدالت جنب مسجد موسي ابن جعفر نبش کوچه 4"</f>
        <v>ابتداي بلوار عدالت جنب مسجد موسي ابن جعفر نبش کوچه 4</v>
      </c>
      <c r="E672" s="1" t="s">
        <v>1574</v>
      </c>
    </row>
    <row r="673" spans="1:5">
      <c r="A673" s="1" t="s">
        <v>1441</v>
      </c>
      <c r="B673" s="1" t="str">
        <f>"فيروزآباد"</f>
        <v>فيروزآباد</v>
      </c>
      <c r="C673" s="1" t="str">
        <f>"رستمي عليرضا /فيروزآباد"</f>
        <v>رستمي عليرضا /فيروزآباد</v>
      </c>
      <c r="D673" s="1" t="str">
        <f>"خيابان شهيد چگيني ضلع غربي ميدان"</f>
        <v>خيابان شهيد چگيني ضلع غربي ميدان</v>
      </c>
      <c r="E673" s="1" t="s">
        <v>1574</v>
      </c>
    </row>
    <row r="674" spans="1:5">
      <c r="A674" s="1" t="s">
        <v>1441</v>
      </c>
      <c r="B674" s="1" t="str">
        <f>"فارس"</f>
        <v>فارس</v>
      </c>
      <c r="C674" s="1" t="str">
        <f>"عباسي محمد جواد (پاسارگاد)"</f>
        <v>عباسي محمد جواد (پاسارگاد)</v>
      </c>
      <c r="D674" s="1" t="str">
        <f>"پاسارگاد - سعادتشهر -بلوار امام خميني -روبروي مسجد ابوالفضل -فروشگاه ياس"</f>
        <v>پاسارگاد - سعادتشهر -بلوار امام خميني -روبروي مسجد ابوالفضل -فروشگاه ياس</v>
      </c>
      <c r="E674" s="1" t="s">
        <v>1574</v>
      </c>
    </row>
    <row r="675" spans="1:5">
      <c r="A675" s="1" t="s">
        <v>1441</v>
      </c>
      <c r="B675" s="1" t="str">
        <f t="shared" ref="B675:B680" si="7">"شيراز"</f>
        <v>شيراز</v>
      </c>
      <c r="C675" s="1" t="str">
        <f>"رستگار احمد/بيضاء"</f>
        <v>رستگار احمد/بيضاء</v>
      </c>
      <c r="D675" s="1" t="str">
        <f>"حربال جنب بانك كشاورزي فروشگاه البرز"</f>
        <v>حربال جنب بانك كشاورزي فروشگاه البرز</v>
      </c>
      <c r="E675" s="1" t="s">
        <v>1574</v>
      </c>
    </row>
    <row r="676" spans="1:5">
      <c r="A676" s="1" t="s">
        <v>1441</v>
      </c>
      <c r="B676" s="1" t="str">
        <f t="shared" si="7"/>
        <v>شيراز</v>
      </c>
      <c r="C676" s="1" t="str">
        <f>"شاهوران علي اکبر"</f>
        <v>شاهوران علي اکبر</v>
      </c>
      <c r="D676" s="1" t="str">
        <f>"فرصت شيرازي- 20 متري رضوي"</f>
        <v>فرصت شيرازي- 20 متري رضوي</v>
      </c>
      <c r="E676" s="1" t="s">
        <v>1574</v>
      </c>
    </row>
    <row r="677" spans="1:5">
      <c r="A677" s="1" t="s">
        <v>1441</v>
      </c>
      <c r="B677" s="1" t="str">
        <f t="shared" si="7"/>
        <v>شيراز</v>
      </c>
      <c r="C677" s="1" t="str">
        <f>"ضيغمي مسيح(سه راه برق)"</f>
        <v>ضيغمي مسيح(سه راه برق)</v>
      </c>
      <c r="D677" s="1" t="str">
        <f>"مشير غربي نبش کوچه 18 جنب آش برق تجهيزات پرسيس"</f>
        <v>مشير غربي نبش کوچه 18 جنب آش برق تجهيزات پرسيس</v>
      </c>
      <c r="E677" s="1" t="s">
        <v>1574</v>
      </c>
    </row>
    <row r="678" spans="1:5">
      <c r="A678" s="1" t="s">
        <v>1441</v>
      </c>
      <c r="B678" s="1" t="str">
        <f t="shared" si="7"/>
        <v>شيراز</v>
      </c>
      <c r="C678" s="1" t="str">
        <f>"احمدي حبيب(صنايع)"</f>
        <v>احمدي حبيب(صنايع)</v>
      </c>
      <c r="D678" s="1" t="str">
        <f>"بلوار صنايع بعد از زير گذر روبروي بانک ملت و ملي فروشگاه احمدي"</f>
        <v>بلوار صنايع بعد از زير گذر روبروي بانک ملت و ملي فروشگاه احمدي</v>
      </c>
      <c r="E678" s="1" t="s">
        <v>1574</v>
      </c>
    </row>
    <row r="679" spans="1:5">
      <c r="A679" s="1" t="s">
        <v>1441</v>
      </c>
      <c r="B679" s="1" t="str">
        <f t="shared" si="7"/>
        <v>شيراز</v>
      </c>
      <c r="C679" s="1" t="str">
        <f>"شکيبايي محمدحسين(عدالت)"</f>
        <v>شکيبايي محمدحسين(عدالت)</v>
      </c>
      <c r="D679" s="1" t="str">
        <f>"بلوار عدالت جنوبي کوچه 50"</f>
        <v>بلوار عدالت جنوبي کوچه 50</v>
      </c>
      <c r="E679" s="1" t="s">
        <v>1574</v>
      </c>
    </row>
    <row r="680" spans="1:5">
      <c r="A680" s="1" t="s">
        <v>1441</v>
      </c>
      <c r="B680" s="1" t="str">
        <f t="shared" si="7"/>
        <v>شيراز</v>
      </c>
      <c r="C680" s="1" t="str">
        <f>"زارع حسين(صنايع)"</f>
        <v>زارع حسين(صنايع)</v>
      </c>
      <c r="D680" s="1" t="str">
        <f>"بلوار صنايع قبل از 20 متري فرمانداري نمايشگاه کاشي و سراميک زارع"</f>
        <v>بلوار صنايع قبل از 20 متري فرمانداري نمايشگاه کاشي و سراميک زارع</v>
      </c>
      <c r="E680" s="1" t="s">
        <v>1574</v>
      </c>
    </row>
    <row r="681" spans="1:5">
      <c r="A681" s="1" t="s">
        <v>1441</v>
      </c>
      <c r="B681" s="1" t="str">
        <f>"بوشهر"</f>
        <v>بوشهر</v>
      </c>
      <c r="C681" s="1" t="str">
        <f>"شرکت طاها شير"</f>
        <v>شرکت طاها شير</v>
      </c>
      <c r="D681" s="1" t="str">
        <f>"بوشهر شهرک صنعتي 2 خ کارآفرينان خ سيزدهم پلاک 207"</f>
        <v>بوشهر شهرک صنعتي 2 خ کارآفرينان خ سيزدهم پلاک 207</v>
      </c>
      <c r="E681" s="1" t="s">
        <v>1574</v>
      </c>
    </row>
    <row r="682" spans="1:5">
      <c r="A682" s="1" t="s">
        <v>1441</v>
      </c>
      <c r="B682" s="1" t="str">
        <f t="shared" ref="B682:B708" si="8">"شيراز"</f>
        <v>شيراز</v>
      </c>
      <c r="C682" s="1" t="str">
        <f>"حبيبي افشين"</f>
        <v>حبيبي افشين</v>
      </c>
      <c r="D682" s="1" t="str">
        <f>"خيابان مشير کهنه  چهار راه شکوفه"</f>
        <v>خيابان مشير کهنه  چهار راه شکوفه</v>
      </c>
      <c r="E682" s="1" t="s">
        <v>1574</v>
      </c>
    </row>
    <row r="683" spans="1:5">
      <c r="A683" s="1" t="s">
        <v>1441</v>
      </c>
      <c r="B683" s="1" t="str">
        <f t="shared" si="8"/>
        <v>شيراز</v>
      </c>
      <c r="C683" s="1" t="str">
        <f>"توكليان هادي"</f>
        <v>توكليان هادي</v>
      </c>
      <c r="D683" s="1" t="str">
        <f>"حد فاصل دروازه کازرون و چهار راه شکوفه سمت راست بعد از کوچه 6 تجهيزات آشپزخانه توکليان"</f>
        <v>حد فاصل دروازه کازرون و چهار راه شکوفه سمت راست بعد از کوچه 6 تجهيزات آشپزخانه توکليان</v>
      </c>
      <c r="E683" s="1" t="s">
        <v>1574</v>
      </c>
    </row>
    <row r="684" spans="1:5">
      <c r="A684" s="1" t="s">
        <v>1441</v>
      </c>
      <c r="B684" s="1" t="str">
        <f t="shared" si="8"/>
        <v>شيراز</v>
      </c>
      <c r="C684" s="1" t="str">
        <f>"كرمي نبي"</f>
        <v>كرمي نبي</v>
      </c>
      <c r="D684" s="1" t="str">
        <f>"نبش چهارراه آريا لوله و لوازم بهداشتي برادران كرمي"</f>
        <v>نبش چهارراه آريا لوله و لوازم بهداشتي برادران كرمي</v>
      </c>
      <c r="E684" s="1" t="s">
        <v>1574</v>
      </c>
    </row>
    <row r="685" spans="1:5">
      <c r="A685" s="1" t="s">
        <v>1441</v>
      </c>
      <c r="B685" s="1" t="str">
        <f t="shared" si="8"/>
        <v>شيراز</v>
      </c>
      <c r="C685" s="1" t="str">
        <f>"بهشت رو اسماعيل"</f>
        <v>بهشت رو اسماعيل</v>
      </c>
      <c r="D685" s="1" t="str">
        <f>"شريف آباد بلوار تخت جمشيد شرقي"</f>
        <v>شريف آباد بلوار تخت جمشيد شرقي</v>
      </c>
      <c r="E685" s="1" t="s">
        <v>1574</v>
      </c>
    </row>
    <row r="686" spans="1:5">
      <c r="A686" s="1" t="s">
        <v>1441</v>
      </c>
      <c r="B686" s="1" t="str">
        <f t="shared" si="8"/>
        <v>شيراز</v>
      </c>
      <c r="C686" s="1" t="str">
        <f>"هاشمي سيد محسن"</f>
        <v>هاشمي سيد محسن</v>
      </c>
      <c r="D686" s="1" t="str">
        <f>"بلوار صنايع نبش کوچه بهداشت"</f>
        <v>بلوار صنايع نبش کوچه بهداشت</v>
      </c>
      <c r="E686" s="1" t="s">
        <v>1574</v>
      </c>
    </row>
    <row r="687" spans="1:5">
      <c r="A687" s="1" t="s">
        <v>1441</v>
      </c>
      <c r="B687" s="1" t="str">
        <f t="shared" si="8"/>
        <v>شيراز</v>
      </c>
      <c r="C687" s="1" t="str">
        <f>"شجاعتمند حميدرضا"</f>
        <v>شجاعتمند حميدرضا</v>
      </c>
      <c r="D687" s="1" t="str">
        <f>"خ شريف آباد ميدان پيام به طرف چهارراه شريف آباد 200متر پايين تر از بانک ملت"</f>
        <v>خ شريف آباد ميدان پيام به طرف چهارراه شريف آباد 200متر پايين تر از بانک ملت</v>
      </c>
      <c r="E687" s="1" t="s">
        <v>1574</v>
      </c>
    </row>
    <row r="688" spans="1:5">
      <c r="A688" s="1" t="s">
        <v>1441</v>
      </c>
      <c r="B688" s="1" t="str">
        <f t="shared" si="8"/>
        <v>شيراز</v>
      </c>
      <c r="C688" s="1" t="str">
        <f>"عسکري روان شير"</f>
        <v>عسکري روان شير</v>
      </c>
      <c r="D688" s="1" t="str">
        <f>"خ پيروزي (نمازي) روبروي پاساژ پيروزي"</f>
        <v>خ پيروزي (نمازي) روبروي پاساژ پيروزي</v>
      </c>
      <c r="E688" s="1" t="s">
        <v>1574</v>
      </c>
    </row>
    <row r="689" spans="1:5">
      <c r="A689" s="1" t="s">
        <v>1441</v>
      </c>
      <c r="B689" s="1" t="str">
        <f t="shared" si="8"/>
        <v>شيراز</v>
      </c>
      <c r="C689" s="1" t="str">
        <f>"زاهدي بهروز"</f>
        <v>زاهدي بهروز</v>
      </c>
      <c r="D689" s="1" t="str">
        <f>"بلوار بعثت جنب بانک صادرات"</f>
        <v>بلوار بعثت جنب بانک صادرات</v>
      </c>
      <c r="E689" s="1" t="s">
        <v>1574</v>
      </c>
    </row>
    <row r="690" spans="1:5">
      <c r="A690" s="1" t="s">
        <v>1441</v>
      </c>
      <c r="B690" s="1" t="str">
        <f t="shared" si="8"/>
        <v>شيراز</v>
      </c>
      <c r="C690" s="1" t="str">
        <f>"اميري سعيد/پارسا استيل"</f>
        <v>اميري سعيد/پارسا استيل</v>
      </c>
      <c r="D690" s="1" t="str">
        <f>"شيراز - بلوار مدرس خ فضيلت بعد از پارک فضيلت روبروي تعويض روغن"</f>
        <v>شيراز - بلوار مدرس خ فضيلت بعد از پارک فضيلت روبروي تعويض روغن</v>
      </c>
      <c r="E690" s="1" t="s">
        <v>1574</v>
      </c>
    </row>
    <row r="691" spans="1:5">
      <c r="A691" s="1" t="s">
        <v>1441</v>
      </c>
      <c r="B691" s="1" t="str">
        <f t="shared" si="8"/>
        <v>شيراز</v>
      </c>
      <c r="C691" s="1" t="str">
        <f>"قدرت  نعيم"</f>
        <v>قدرت  نعيم</v>
      </c>
      <c r="D691" s="1" t="str">
        <f>"بلوار عدالت مقابل کميته امداد کاشي سراميک نويد"</f>
        <v>بلوار عدالت مقابل کميته امداد کاشي سراميک نويد</v>
      </c>
      <c r="E691" s="1" t="s">
        <v>1574</v>
      </c>
    </row>
    <row r="692" spans="1:5">
      <c r="A692" s="1" t="s">
        <v>1441</v>
      </c>
      <c r="B692" s="1" t="str">
        <f t="shared" si="8"/>
        <v>شيراز</v>
      </c>
      <c r="C692" s="1" t="str">
        <f>"بيضاوي اصغر"</f>
        <v>بيضاوي اصغر</v>
      </c>
      <c r="D692" s="1" t="str">
        <f>"چهارراه حافظيه جنب شرکت شيراز تهويه لوازم بهداشتي حافظ"</f>
        <v>چهارراه حافظيه جنب شرکت شيراز تهويه لوازم بهداشتي حافظ</v>
      </c>
      <c r="E692" s="1" t="s">
        <v>1574</v>
      </c>
    </row>
    <row r="693" spans="1:5">
      <c r="A693" s="1" t="s">
        <v>1441</v>
      </c>
      <c r="B693" s="1" t="str">
        <f t="shared" si="8"/>
        <v>شيراز</v>
      </c>
      <c r="C693" s="1" t="str">
        <f>"هاشمي  سيد محمود"</f>
        <v>هاشمي  سيد محمود</v>
      </c>
      <c r="D693" s="1" t="str">
        <f>"بلوار اميرکبير جنب نمايندگي حداديان"</f>
        <v>بلوار اميرکبير جنب نمايندگي حداديان</v>
      </c>
      <c r="E693" s="1" t="s">
        <v>1574</v>
      </c>
    </row>
    <row r="694" spans="1:5">
      <c r="A694" s="1" t="s">
        <v>1441</v>
      </c>
      <c r="B694" s="1" t="str">
        <f t="shared" si="8"/>
        <v>شيراز</v>
      </c>
      <c r="C694" s="1" t="str">
        <f>"نظيري امير حسين"</f>
        <v>نظيري امير حسين</v>
      </c>
      <c r="D694" s="1" t="str">
        <f>"بلوار عدالت روبروي بريدگي دوم جنب بانک"</f>
        <v>بلوار عدالت روبروي بريدگي دوم جنب بانک</v>
      </c>
      <c r="E694" s="1" t="s">
        <v>1574</v>
      </c>
    </row>
    <row r="695" spans="1:5">
      <c r="A695" s="1" t="s">
        <v>1441</v>
      </c>
      <c r="B695" s="1" t="str">
        <f t="shared" si="8"/>
        <v>شيراز</v>
      </c>
      <c r="C695" s="1" t="str">
        <f>"موسوي ابراهيم"</f>
        <v>موسوي ابراهيم</v>
      </c>
      <c r="D695" s="1" t="str">
        <f>"نبش جنوبي سه راه مدبر لوازم بهداشتي و ساختماني موسوي"</f>
        <v>نبش جنوبي سه راه مدبر لوازم بهداشتي و ساختماني موسوي</v>
      </c>
      <c r="E695" s="1" t="s">
        <v>1574</v>
      </c>
    </row>
    <row r="696" spans="1:5">
      <c r="A696" s="1" t="s">
        <v>1441</v>
      </c>
      <c r="B696" s="1" t="str">
        <f t="shared" si="8"/>
        <v>شيراز</v>
      </c>
      <c r="C696" s="1" t="str">
        <f>"كرمي مجيد"</f>
        <v>كرمي مجيد</v>
      </c>
      <c r="D696" s="1" t="str">
        <f>"چهارراه آريا روبروي تاکسي تلفني آريا"</f>
        <v>چهارراه آريا روبروي تاکسي تلفني آريا</v>
      </c>
      <c r="E696" s="1" t="s">
        <v>1574</v>
      </c>
    </row>
    <row r="697" spans="1:5">
      <c r="A697" s="1" t="s">
        <v>1441</v>
      </c>
      <c r="B697" s="1" t="str">
        <f t="shared" si="8"/>
        <v>شيراز</v>
      </c>
      <c r="C697" s="1" t="str">
        <f>"كرمي كرامت اله"</f>
        <v>كرمي كرامت اله</v>
      </c>
      <c r="D697" s="1" t="str">
        <f>"نبش چهارراه آريا لوله لوازم بهداشتي برادران کرمي"</f>
        <v>نبش چهارراه آريا لوله لوازم بهداشتي برادران کرمي</v>
      </c>
      <c r="E697" s="1" t="s">
        <v>1574</v>
      </c>
    </row>
    <row r="698" spans="1:5">
      <c r="A698" s="1" t="s">
        <v>1441</v>
      </c>
      <c r="B698" s="1" t="str">
        <f t="shared" si="8"/>
        <v>شيراز</v>
      </c>
      <c r="C698" s="1" t="str">
        <f>"كرمي علي"</f>
        <v>كرمي علي</v>
      </c>
      <c r="D698" s="1" t="str">
        <f>"چهارراه آريا خيابان آريا فروشگاه کرمي"</f>
        <v>چهارراه آريا خيابان آريا فروشگاه کرمي</v>
      </c>
      <c r="E698" s="1" t="s">
        <v>1574</v>
      </c>
    </row>
    <row r="699" spans="1:5">
      <c r="A699" s="1" t="s">
        <v>1441</v>
      </c>
      <c r="B699" s="1" t="str">
        <f t="shared" si="8"/>
        <v>شيراز</v>
      </c>
      <c r="C699" s="1" t="str">
        <f>"طالع زاده مجيد/ صنايع"</f>
        <v>طالع زاده مجيد/ صنايع</v>
      </c>
      <c r="D699" s="1" t="str">
        <f>"شيراز بلوار صنايع روبروي پل هوايي بازرگاني طالع زاده"</f>
        <v>شيراز بلوار صنايع روبروي پل هوايي بازرگاني طالع زاده</v>
      </c>
      <c r="E699" s="1" t="s">
        <v>1574</v>
      </c>
    </row>
    <row r="700" spans="1:5">
      <c r="A700" s="1" t="s">
        <v>1441</v>
      </c>
      <c r="B700" s="1" t="str">
        <f t="shared" si="8"/>
        <v>شيراز</v>
      </c>
      <c r="C700" s="1" t="str">
        <f>"طالبانپور امير/پارامنت"</f>
        <v>طالبانپور امير/پارامنت</v>
      </c>
      <c r="D700" s="1" t="str">
        <f>"شيراز چهارراه پارامونت نبش کوچه شير خوارگاه لوازم آشپزخانه طالبانپور"</f>
        <v>شيراز چهارراه پارامونت نبش کوچه شير خوارگاه لوازم آشپزخانه طالبانپور</v>
      </c>
      <c r="E700" s="1" t="s">
        <v>1574</v>
      </c>
    </row>
    <row r="701" spans="1:5">
      <c r="A701" s="1" t="s">
        <v>1441</v>
      </c>
      <c r="B701" s="1" t="str">
        <f t="shared" si="8"/>
        <v>شيراز</v>
      </c>
      <c r="C701" s="1" t="str">
        <f>"صنيع محمد رضا"</f>
        <v>صنيع محمد رضا</v>
      </c>
      <c r="D701" s="1" t="str">
        <f>"بلوار عدالت بعد از کارواش شهيد فتاح کوچه 48 فروشگاه سپهر"</f>
        <v>بلوار عدالت بعد از کارواش شهيد فتاح کوچه 48 فروشگاه سپهر</v>
      </c>
      <c r="E701" s="1" t="s">
        <v>1574</v>
      </c>
    </row>
    <row r="702" spans="1:5">
      <c r="A702" s="1" t="s">
        <v>1441</v>
      </c>
      <c r="B702" s="1" t="str">
        <f t="shared" si="8"/>
        <v>شيراز</v>
      </c>
      <c r="C702" s="1" t="str">
        <f>"صادقپور احسان"</f>
        <v>صادقپور احسان</v>
      </c>
      <c r="D702" s="1" t="str">
        <f>"بلوار صنايع جنب زير گذر فروشگاه هود کن"</f>
        <v>بلوار صنايع جنب زير گذر فروشگاه هود کن</v>
      </c>
      <c r="E702" s="1" t="s">
        <v>1574</v>
      </c>
    </row>
    <row r="703" spans="1:5">
      <c r="A703" s="1" t="s">
        <v>1441</v>
      </c>
      <c r="B703" s="1" t="str">
        <f t="shared" si="8"/>
        <v>شيراز</v>
      </c>
      <c r="C703" s="1" t="str">
        <f>"رفيعي نژاد مسعود"</f>
        <v>رفيعي نژاد مسعود</v>
      </c>
      <c r="D703" s="1" t="str">
        <f>"شيراز بلوار هجرت نبش خيابان عبيرآميز"</f>
        <v>شيراز بلوار هجرت نبش خيابان عبيرآميز</v>
      </c>
      <c r="E703" s="1" t="s">
        <v>1574</v>
      </c>
    </row>
    <row r="704" spans="1:5">
      <c r="A704" s="1" t="s">
        <v>1441</v>
      </c>
      <c r="B704" s="1" t="str">
        <f t="shared" si="8"/>
        <v>شيراز</v>
      </c>
      <c r="C704" s="1" t="str">
        <f>"سعيدي فرد علي اکبر"</f>
        <v>سعيدي فرد علي اکبر</v>
      </c>
      <c r="D704" s="1" t="str">
        <f>"بلوار ابوذر غفاري - مجتمع مرواريد"</f>
        <v>بلوار ابوذر غفاري - مجتمع مرواريد</v>
      </c>
      <c r="E704" s="1" t="s">
        <v>1574</v>
      </c>
    </row>
    <row r="705" spans="1:5">
      <c r="A705" s="1" t="s">
        <v>1441</v>
      </c>
      <c r="B705" s="1" t="str">
        <f t="shared" si="8"/>
        <v>شيراز</v>
      </c>
      <c r="C705" s="1" t="str">
        <f>"حسيني سيد ضياء/پارك قوري"</f>
        <v>حسيني سيد ضياء/پارك قوري</v>
      </c>
      <c r="D705" s="1" t="str">
        <f>"شيراز بلوار دهقان خيابان باهنر شمالي لوازم ساختماني"</f>
        <v>شيراز بلوار دهقان خيابان باهنر شمالي لوازم ساختماني</v>
      </c>
      <c r="E705" s="1" t="s">
        <v>1574</v>
      </c>
    </row>
    <row r="706" spans="1:5">
      <c r="A706" s="1" t="s">
        <v>1441</v>
      </c>
      <c r="B706" s="1" t="str">
        <f t="shared" si="8"/>
        <v>شيراز</v>
      </c>
      <c r="C706" s="1" t="str">
        <f>"افزونكار ابراهيم"</f>
        <v>افزونكار ابراهيم</v>
      </c>
      <c r="D706" s="1" t="str">
        <f>"نبش سه راه بهار فروشگاه بهار"</f>
        <v>نبش سه راه بهار فروشگاه بهار</v>
      </c>
      <c r="E706" s="1" t="s">
        <v>1574</v>
      </c>
    </row>
    <row r="707" spans="1:5">
      <c r="A707" s="1" t="s">
        <v>1441</v>
      </c>
      <c r="B707" s="1" t="str">
        <f t="shared" si="8"/>
        <v>شيراز</v>
      </c>
      <c r="C707" s="1" t="str">
        <f>"احمدي جليل/صنايع"</f>
        <v>احمدي جليل/صنايع</v>
      </c>
      <c r="D707" s="1" t="str">
        <f>"بلوار صنايع نرسيده به فلکه صنايع سمت راست لوازم ساختماني احمدي"</f>
        <v>بلوار صنايع نرسيده به فلکه صنايع سمت راست لوازم ساختماني احمدي</v>
      </c>
      <c r="E707" s="1" t="s">
        <v>1574</v>
      </c>
    </row>
    <row r="708" spans="1:5">
      <c r="A708" s="1" t="s">
        <v>1441</v>
      </c>
      <c r="B708" s="1" t="str">
        <f t="shared" si="8"/>
        <v>شيراز</v>
      </c>
      <c r="C708" s="1" t="str">
        <f>"احمد پور ابراهيم"</f>
        <v>احمد پور ابراهيم</v>
      </c>
      <c r="D708" s="1" t="str">
        <f>"خ بني هاشم لوازم ساختماني احمد پور"</f>
        <v>خ بني هاشم لوازم ساختماني احمد پور</v>
      </c>
      <c r="E708" s="1" t="s">
        <v>1574</v>
      </c>
    </row>
    <row r="709" spans="1:5">
      <c r="A709" s="1" t="s">
        <v>1441</v>
      </c>
      <c r="B709" s="1" t="str">
        <f>"بهبهان"</f>
        <v>بهبهان</v>
      </c>
      <c r="C709" s="1" t="str">
        <f>"اسديان محمد"</f>
        <v>اسديان محمد</v>
      </c>
      <c r="D709" s="1" t="str">
        <f>"خيابان سپاه روبروي آپارتمان وحداني فروشگاه اسديان"</f>
        <v>خيابان سپاه روبروي آپارتمان وحداني فروشگاه اسديان</v>
      </c>
      <c r="E709" s="1" t="s">
        <v>1574</v>
      </c>
    </row>
    <row r="710" spans="1:5">
      <c r="A710" s="1" t="s">
        <v>1441</v>
      </c>
      <c r="B710" s="1" t="str">
        <f>"مرند"</f>
        <v>مرند</v>
      </c>
      <c r="C710" s="1" t="str">
        <f>"قبادي ناصر(مرند)"</f>
        <v>قبادي ناصر(مرند)</v>
      </c>
      <c r="D710" s="1" t="str">
        <f>"مرند   ميدان امام حسين  اول چهل متري شهيد کسايي  سمت راست ساختمان قبادي"</f>
        <v>مرند   ميدان امام حسين  اول چهل متري شهيد کسايي  سمت راست ساختمان قبادي</v>
      </c>
      <c r="E710" s="1" t="s">
        <v>1574</v>
      </c>
    </row>
    <row r="711" spans="1:5">
      <c r="A711" s="1" t="s">
        <v>1441</v>
      </c>
      <c r="B711" s="1" t="str">
        <f>"بوكان"</f>
        <v>بوكان</v>
      </c>
      <c r="C711" s="1" t="str">
        <f>"نصرالهي سعيد(بوکان)"</f>
        <v>نصرالهي سعيد(بوکان)</v>
      </c>
      <c r="D711" s="1" t="str">
        <f>"بوکان    خ. باغ قاضي    نرسيده به سه راه مجسمه مادر"</f>
        <v>بوکان    خ. باغ قاضي    نرسيده به سه راه مجسمه مادر</v>
      </c>
      <c r="E711" s="1" t="s">
        <v>1574</v>
      </c>
    </row>
    <row r="712" spans="1:5">
      <c r="A712" s="1" t="s">
        <v>1441</v>
      </c>
      <c r="B712" s="1" t="str">
        <f>"تكاب"</f>
        <v>تكاب</v>
      </c>
      <c r="C712" s="1" t="str">
        <f>"ايماني محمد(تکاب)"</f>
        <v>ايماني محمد(تکاب)</v>
      </c>
      <c r="D712" s="1" t="str">
        <f>"تکاب   خ. امام    روبروي اداره اوقاف   فروشگاه ايماني"</f>
        <v>تکاب   خ. امام    روبروي اداره اوقاف   فروشگاه ايماني</v>
      </c>
      <c r="E712" s="1" t="s">
        <v>1574</v>
      </c>
    </row>
    <row r="713" spans="1:5">
      <c r="A713" s="1" t="s">
        <v>1441</v>
      </c>
      <c r="B713" s="1" t="str">
        <f t="shared" ref="B713:B718" si="9">"تبريز"</f>
        <v>تبريز</v>
      </c>
      <c r="C713" s="1" t="str">
        <f>"دهقان زاد اصغر(تبريز)"</f>
        <v>دهقان زاد اصغر(تبريز)</v>
      </c>
      <c r="D713" s="1" t="str">
        <f>"خيابان قدس  ايستگاه تالار    روبروي دربند باغ    تجهيزات فرزانه"</f>
        <v>خيابان قدس  ايستگاه تالار    روبروي دربند باغ    تجهيزات فرزانه</v>
      </c>
      <c r="E713" s="1" t="s">
        <v>1574</v>
      </c>
    </row>
    <row r="714" spans="1:5">
      <c r="A714" s="1" t="s">
        <v>1441</v>
      </c>
      <c r="B714" s="1" t="str">
        <f t="shared" si="9"/>
        <v>تبريز</v>
      </c>
      <c r="C714" s="1" t="str">
        <f>"گشتي هادي"</f>
        <v>گشتي هادي</v>
      </c>
      <c r="D714" s="1" t="str">
        <f>"خ. راه آهن   چهارراه خطيب"</f>
        <v>خ. راه آهن   چهارراه خطيب</v>
      </c>
      <c r="E714" s="1" t="s">
        <v>1574</v>
      </c>
    </row>
    <row r="715" spans="1:5">
      <c r="A715" s="1" t="s">
        <v>1441</v>
      </c>
      <c r="B715" s="1" t="str">
        <f t="shared" si="9"/>
        <v>تبريز</v>
      </c>
      <c r="C715" s="1" t="str">
        <f>"طاهرزاده حامد"</f>
        <v>طاهرزاده حامد</v>
      </c>
      <c r="D715" s="1" t="str">
        <f>"خ. آزادي چهارراه لاله اول سعدي غربي"</f>
        <v>خ. آزادي چهارراه لاله اول سعدي غربي</v>
      </c>
      <c r="E715" s="1" t="s">
        <v>1574</v>
      </c>
    </row>
    <row r="716" spans="1:5">
      <c r="A716" s="1" t="s">
        <v>1441</v>
      </c>
      <c r="B716" s="1" t="str">
        <f t="shared" si="9"/>
        <v>تبريز</v>
      </c>
      <c r="C716" s="1" t="str">
        <f>"باستانيان مهدي"</f>
        <v>باستانيان مهدي</v>
      </c>
      <c r="D716" s="1" t="str">
        <f>"خيابان آزادي  پايينتر از چهارراه ابوريحان   روبروي خيابان شاهد"</f>
        <v>خيابان آزادي  پايينتر از چهارراه ابوريحان   روبروي خيابان شاهد</v>
      </c>
      <c r="E716" s="1" t="s">
        <v>1574</v>
      </c>
    </row>
    <row r="717" spans="1:5">
      <c r="A717" s="1" t="s">
        <v>1441</v>
      </c>
      <c r="B717" s="1" t="str">
        <f t="shared" si="9"/>
        <v>تبريز</v>
      </c>
      <c r="C717" s="1" t="str">
        <f>"کاشي زنوز جعفر"</f>
        <v>کاشي زنوز جعفر</v>
      </c>
      <c r="D717" s="1" t="str">
        <f>"خ. جمهوري اسلامي  روبروي بانک قرض الحسنه مهرايران"</f>
        <v>خ. جمهوري اسلامي  روبروي بانک قرض الحسنه مهرايران</v>
      </c>
      <c r="E717" s="1" t="s">
        <v>1574</v>
      </c>
    </row>
    <row r="718" spans="1:5">
      <c r="A718" s="1" t="s">
        <v>1441</v>
      </c>
      <c r="B718" s="1" t="str">
        <f t="shared" si="9"/>
        <v>تبريز</v>
      </c>
      <c r="C718" s="1" t="str">
        <f>"سرمايه گذاري مسکن شمال غرب"</f>
        <v>سرمايه گذاري مسکن شمال غرب</v>
      </c>
      <c r="D718" s="1" t="str">
        <f>"سربالايي وليعصر   روبروي پزشکي قانوني  جنب پل توانير پلاک 1/6"</f>
        <v>سربالايي وليعصر   روبروي پزشکي قانوني  جنب پل توانير پلاک 1/6</v>
      </c>
      <c r="E718" s="1" t="s">
        <v>1574</v>
      </c>
    </row>
    <row r="719" spans="1:5">
      <c r="A719" s="1" t="s">
        <v>1441</v>
      </c>
      <c r="B719" s="1" t="str">
        <f>"آذربايجان غربي"</f>
        <v>آذربايجان غربي</v>
      </c>
      <c r="C719" s="1" t="str">
        <f>"محمدي بگزاد(سردشت)"</f>
        <v>محمدي بگزاد(سردشت)</v>
      </c>
      <c r="D719" s="1" t="str">
        <f>"سردشت خ. بسيج بالاي سد سنگي فروشگاه ايليا استيل"</f>
        <v>سردشت خ. بسيج بالاي سد سنگي فروشگاه ايليا استيل</v>
      </c>
      <c r="E719" s="1" t="s">
        <v>1574</v>
      </c>
    </row>
    <row r="720" spans="1:5">
      <c r="A720" s="1" t="s">
        <v>1441</v>
      </c>
      <c r="B720" s="1" t="str">
        <f>"ميانه"</f>
        <v>ميانه</v>
      </c>
      <c r="C720" s="1" t="str">
        <f>"فرقاني صابر"</f>
        <v>فرقاني صابر</v>
      </c>
      <c r="D720" s="1" t="str">
        <f>"خ. فني و حرفه اي جنب هتل سولماز"</f>
        <v>خ. فني و حرفه اي جنب هتل سولماز</v>
      </c>
      <c r="E720" s="1" t="s">
        <v>1574</v>
      </c>
    </row>
    <row r="721" spans="1:5">
      <c r="A721" s="1" t="s">
        <v>1441</v>
      </c>
      <c r="B721" s="1" t="str">
        <f>"ميانه"</f>
        <v>ميانه</v>
      </c>
      <c r="C721" s="1" t="str">
        <f>"زماني حسين(ميانه)"</f>
        <v>زماني حسين(ميانه)</v>
      </c>
      <c r="D721" s="1" t="str">
        <f>"جاده ترانزيت  خ. فني حرفه اي  جنب هتل سولماز"</f>
        <v>جاده ترانزيت  خ. فني حرفه اي  جنب هتل سولماز</v>
      </c>
      <c r="E721" s="1" t="s">
        <v>1574</v>
      </c>
    </row>
    <row r="722" spans="1:5">
      <c r="A722" s="1" t="s">
        <v>1441</v>
      </c>
      <c r="B722" s="1" t="str">
        <f>"تبريز"</f>
        <v>تبريز</v>
      </c>
      <c r="C722" s="1" t="str">
        <f>"شيخي غلامرضا"</f>
        <v>شيخي غلامرضا</v>
      </c>
      <c r="D722" s="1" t="str">
        <f>"بستان آباد  ميدان انقلاب"</f>
        <v>بستان آباد  ميدان انقلاب</v>
      </c>
      <c r="E722" s="1" t="s">
        <v>1574</v>
      </c>
    </row>
    <row r="723" spans="1:5">
      <c r="A723" s="1" t="s">
        <v>1441</v>
      </c>
      <c r="B723" s="1" t="str">
        <f>"سراب"</f>
        <v>سراب</v>
      </c>
      <c r="C723" s="1" t="str">
        <f>"پورفردسرابي ابوالفضل"</f>
        <v>پورفردسرابي ابوالفضل</v>
      </c>
      <c r="D723" s="1" t="str">
        <f>"خ. شهيد بهشتي سه راه نماز"</f>
        <v>خ. شهيد بهشتي سه راه نماز</v>
      </c>
      <c r="E723" s="1" t="s">
        <v>1574</v>
      </c>
    </row>
    <row r="724" spans="1:5">
      <c r="A724" s="1" t="s">
        <v>1441</v>
      </c>
      <c r="B724" s="1" t="str">
        <f>"تهران"</f>
        <v>تهران</v>
      </c>
      <c r="C724" s="1" t="str">
        <f>"شرکت ايرسا صنعت جاويد"</f>
        <v>شرکت ايرسا صنعت جاويد</v>
      </c>
      <c r="D724" s="1" t="str">
        <f>"خ  سهروردي شمالي  هويزه شرقي   پلاک 20  ط سوم"</f>
        <v>خ  سهروردي شمالي  هويزه شرقي   پلاک 20  ط سوم</v>
      </c>
      <c r="E724" s="1" t="s">
        <v>1574</v>
      </c>
    </row>
    <row r="725" spans="1:5">
      <c r="A725" s="1" t="s">
        <v>1441</v>
      </c>
      <c r="B725" s="1" t="str">
        <f>"تبريز"</f>
        <v>تبريز</v>
      </c>
      <c r="C725" s="1" t="str">
        <f>"صديقي محمد(فروشگاه مرکزي هود)"</f>
        <v>صديقي محمد(فروشگاه مرکزي هود)</v>
      </c>
      <c r="D725" s="1" t="str">
        <f>"وليعصر خيابان مخابرات غربي جنب رستوران دکتر نيک"</f>
        <v>وليعصر خيابان مخابرات غربي جنب رستوران دکتر نيک</v>
      </c>
      <c r="E725" s="1" t="s">
        <v>1574</v>
      </c>
    </row>
    <row r="726" spans="1:5">
      <c r="A726" s="1" t="s">
        <v>1441</v>
      </c>
      <c r="B726" s="1" t="str">
        <f>"سراب"</f>
        <v>سراب</v>
      </c>
      <c r="C726" s="1" t="str">
        <f>"مقدسي روح الله(سراب)"</f>
        <v>مقدسي روح الله(سراب)</v>
      </c>
      <c r="D726" s="1" t="str">
        <f>"ميدان بسيج روبروي بانک ملي"</f>
        <v>ميدان بسيج روبروي بانک ملي</v>
      </c>
      <c r="E726" s="1" t="s">
        <v>1574</v>
      </c>
    </row>
    <row r="727" spans="1:5">
      <c r="A727" s="1" t="s">
        <v>1441</v>
      </c>
      <c r="B727" s="1" t="str">
        <f>"تبريز"</f>
        <v>تبريز</v>
      </c>
      <c r="C727" s="1" t="str">
        <f>"محسني ديزجي عباس (تبريز)"</f>
        <v>محسني ديزجي عباس (تبريز)</v>
      </c>
      <c r="D727" s="1" t="str">
        <f>"منطقه صنعتي غرب-جاده صنعت-شهرك فناوري خودرو-واحد 203"</f>
        <v>منطقه صنعتي غرب-جاده صنعت-شهرك فناوري خودرو-واحد 203</v>
      </c>
      <c r="E727" s="1" t="s">
        <v>1574</v>
      </c>
    </row>
    <row r="728" spans="1:5">
      <c r="A728" s="1" t="s">
        <v>1441</v>
      </c>
      <c r="B728" s="1" t="str">
        <f>"تبريز"</f>
        <v>تبريز</v>
      </c>
      <c r="C728" s="1" t="str">
        <f>"صديق جعفر(تبريز)"</f>
        <v>صديق جعفر(تبريز)</v>
      </c>
      <c r="D728" s="1" t="str">
        <f>"خيابان فردوسي- روبروي كوچه مياميار- فروشگاه صديق"</f>
        <v>خيابان فردوسي- روبروي كوچه مياميار- فروشگاه صديق</v>
      </c>
      <c r="E728" s="1" t="s">
        <v>1574</v>
      </c>
    </row>
    <row r="729" spans="1:5">
      <c r="A729" s="1" t="s">
        <v>1441</v>
      </c>
      <c r="B729" s="1" t="str">
        <f>"تبريز"</f>
        <v>تبريز</v>
      </c>
      <c r="C729" s="1" t="str">
        <f>"ديلمقاني بابك"</f>
        <v>ديلمقاني بابك</v>
      </c>
      <c r="D729" s="1" t="str">
        <f>"خيابان فردوسي- روبروي پاساژ فردوسي- فروشگاه دلمقاني"</f>
        <v>خيابان فردوسي- روبروي پاساژ فردوسي- فروشگاه دلمقاني</v>
      </c>
      <c r="E729" s="1" t="s">
        <v>1574</v>
      </c>
    </row>
    <row r="730" spans="1:5">
      <c r="A730" s="1" t="s">
        <v>1441</v>
      </c>
      <c r="B730" s="1" t="str">
        <f>"گوگان"</f>
        <v>گوگان</v>
      </c>
      <c r="C730" s="1" t="str">
        <f>"پاشايي(گوگان) صابر"</f>
        <v>پاشايي(گوگان) صابر</v>
      </c>
      <c r="D730" s="1" t="str">
        <f>"خيابان امام- انتهاي بلوار ورودي- فروشگاه پاشايي"</f>
        <v>خيابان امام- انتهاي بلوار ورودي- فروشگاه پاشايي</v>
      </c>
      <c r="E730" s="1" t="s">
        <v>1574</v>
      </c>
    </row>
    <row r="731" spans="1:5">
      <c r="A731" s="1" t="s">
        <v>1441</v>
      </c>
      <c r="B731" s="1" t="str">
        <f>"تبريز"</f>
        <v>تبريز</v>
      </c>
      <c r="C731" s="1" t="str">
        <f>"قصاب زاده(آذر لوکس) اکبر"</f>
        <v>قصاب زاده(آذر لوکس) اکبر</v>
      </c>
      <c r="D731" s="1" t="str">
        <f>"اول خيابان فردوسي- فروشگاه توسكا"</f>
        <v>اول خيابان فردوسي- فروشگاه توسكا</v>
      </c>
      <c r="E731" s="1" t="s">
        <v>1574</v>
      </c>
    </row>
    <row r="732" spans="1:5">
      <c r="A732" s="1" t="s">
        <v>1441</v>
      </c>
      <c r="B732" s="1" t="str">
        <f>"تبريز"</f>
        <v>تبريز</v>
      </c>
      <c r="C732" s="1" t="str">
        <f>"پور داداش(تبريز) يونس"</f>
        <v>پور داداش(تبريز) يونس</v>
      </c>
      <c r="D732" s="1" t="str">
        <f>"خ.آخوني روبروي ايستگاه ظفر  فروشگاه برادران پورداداش"</f>
        <v>خ.آخوني روبروي ايستگاه ظفر  فروشگاه برادران پورداداش</v>
      </c>
      <c r="E732" s="1" t="s">
        <v>1574</v>
      </c>
    </row>
    <row r="733" spans="1:5">
      <c r="A733" s="1" t="s">
        <v>1441</v>
      </c>
      <c r="B733" s="1" t="str">
        <f>"تبريز"</f>
        <v>تبريز</v>
      </c>
      <c r="C733" s="1" t="str">
        <f>"علي پور(تبريز) محمدرضا"</f>
        <v>علي پور(تبريز) محمدرضا</v>
      </c>
      <c r="D733" s="1" t="str">
        <f>"وليعصر- خيابان خوابگاه- جنب بانك پارسيان- فروشگاه مركزي"</f>
        <v>وليعصر- خيابان خوابگاه- جنب بانك پارسيان- فروشگاه مركزي</v>
      </c>
      <c r="E733" s="1" t="s">
        <v>1574</v>
      </c>
    </row>
    <row r="734" spans="1:5">
      <c r="A734" s="1" t="s">
        <v>1441</v>
      </c>
      <c r="B734" s="1" t="str">
        <f>"اهر"</f>
        <v>اهر</v>
      </c>
      <c r="C734" s="1" t="str">
        <f>"قهرماني(اهر) حسن"</f>
        <v>قهرماني(اهر) حسن</v>
      </c>
      <c r="D734" s="1" t="str">
        <f>"كيلومتر 2 جاده مشكين شهر انبار لوله"</f>
        <v>كيلومتر 2 جاده مشكين شهر انبار لوله</v>
      </c>
      <c r="E734" s="1" t="s">
        <v>1574</v>
      </c>
    </row>
    <row r="735" spans="1:5">
      <c r="A735" s="1" t="s">
        <v>1441</v>
      </c>
      <c r="B735" s="1" t="str">
        <f>"آذبايجان شرقي"</f>
        <v>آذبايجان شرقي</v>
      </c>
      <c r="C735" s="1" t="str">
        <f>"نخلي محمد رضا"</f>
        <v>نخلي محمد رضا</v>
      </c>
      <c r="D735" s="1" t="str">
        <f>"خسروشهر خيابان امام شمالي جنب بانك تجارت"</f>
        <v>خسروشهر خيابان امام شمالي جنب بانك تجارت</v>
      </c>
      <c r="E735" s="1" t="s">
        <v>1574</v>
      </c>
    </row>
    <row r="736" spans="1:5">
      <c r="A736" s="1" t="s">
        <v>1441</v>
      </c>
      <c r="B736" s="1" t="str">
        <f>"تبريز"</f>
        <v>تبريز</v>
      </c>
      <c r="C736" s="1" t="str">
        <f>"زنده دل علي (فيكس)"</f>
        <v>زنده دل علي (فيكس)</v>
      </c>
      <c r="D736" s="1" t="str">
        <f>"كمربندي ساختمان سنگي"</f>
        <v>كمربندي ساختمان سنگي</v>
      </c>
      <c r="E736" s="1" t="s">
        <v>1574</v>
      </c>
    </row>
    <row r="737" spans="1:5">
      <c r="A737" s="1" t="s">
        <v>1441</v>
      </c>
      <c r="B737" s="1" t="str">
        <f>"تبريز"</f>
        <v>تبريز</v>
      </c>
      <c r="C737" s="1" t="str">
        <f>"فلاحي جعفر"</f>
        <v>فلاحي جعفر</v>
      </c>
      <c r="D737" s="1" t="str">
        <f>"آخر عباسي رو بروي پارك ميخك"</f>
        <v>آخر عباسي رو بروي پارك ميخك</v>
      </c>
      <c r="E737" s="1" t="s">
        <v>1574</v>
      </c>
    </row>
    <row r="738" spans="1:5">
      <c r="A738" s="1" t="s">
        <v>1441</v>
      </c>
      <c r="B738" s="1" t="str">
        <f>"تبريز"</f>
        <v>تبريز</v>
      </c>
      <c r="C738" s="1" t="str">
        <f>"طائف (آذر)"</f>
        <v>طائف (آذر)</v>
      </c>
      <c r="D738" s="1" t="str">
        <f>"خيابان فردوسي  كوچه ميارميار پاساژ شيرآلات طبقه بالاي همکف"</f>
        <v>خيابان فردوسي  كوچه ميارميار پاساژ شيرآلات طبقه بالاي همکف</v>
      </c>
      <c r="E738" s="1" t="s">
        <v>1574</v>
      </c>
    </row>
    <row r="739" spans="1:5">
      <c r="A739" s="1" t="s">
        <v>1441</v>
      </c>
      <c r="B739" s="1" t="str">
        <f>"بناب"</f>
        <v>بناب</v>
      </c>
      <c r="C739" s="1" t="str">
        <f>"انوشه محمد باقر"</f>
        <v>انوشه محمد باقر</v>
      </c>
      <c r="D739" s="1" t="str">
        <f>"خيابان مطهري نرسيده به مسجد مهرآباد"</f>
        <v>خيابان مطهري نرسيده به مسجد مهرآباد</v>
      </c>
      <c r="E739" s="1" t="s">
        <v>1574</v>
      </c>
    </row>
    <row r="740" spans="1:5">
      <c r="A740" s="1" t="s">
        <v>1441</v>
      </c>
      <c r="B740" s="1" t="str">
        <f>"اهواز"</f>
        <v>اهواز</v>
      </c>
      <c r="C740" s="1" t="str">
        <f>"لوري مهدي"</f>
        <v>لوري مهدي</v>
      </c>
      <c r="D740" s="1" t="str">
        <f>"کيان آباد بين خيابان 12 و 13 غربي"</f>
        <v>کيان آباد بين خيابان 12 و 13 غربي</v>
      </c>
      <c r="E740" s="1" t="s">
        <v>1574</v>
      </c>
    </row>
    <row r="741" spans="1:5">
      <c r="A741" s="1" t="s">
        <v>1441</v>
      </c>
      <c r="B741" s="1" t="str">
        <f>"ماهشهر"</f>
        <v>ماهشهر</v>
      </c>
      <c r="C741" s="1" t="str">
        <f>"سليماني خيرالله"</f>
        <v>سليماني خيرالله</v>
      </c>
      <c r="D741" s="1" t="str">
        <f>"بندر ماهشهر نبش ميدان امام"</f>
        <v>بندر ماهشهر نبش ميدان امام</v>
      </c>
      <c r="E741" s="1" t="s">
        <v>1574</v>
      </c>
    </row>
    <row r="742" spans="1:5">
      <c r="A742" s="1" t="s">
        <v>1441</v>
      </c>
      <c r="B742" s="1" t="str">
        <f>"بهبهان"</f>
        <v>بهبهان</v>
      </c>
      <c r="C742" s="1" t="str">
        <f>"هاشمي سيدنعمت الله"</f>
        <v>هاشمي سيدنعمت الله</v>
      </c>
      <c r="D742" s="1" t="str">
        <f>"بلوار سپاه روبروي درب فرهنگي سپاه"</f>
        <v>بلوار سپاه روبروي درب فرهنگي سپاه</v>
      </c>
      <c r="E742" s="1" t="s">
        <v>1574</v>
      </c>
    </row>
    <row r="743" spans="1:5">
      <c r="A743" s="1" t="s">
        <v>1441</v>
      </c>
      <c r="B743" s="1" t="str">
        <f>"اهواز"</f>
        <v>اهواز</v>
      </c>
      <c r="C743" s="1" t="str">
        <f>"جلالي علي"</f>
        <v>جلالي علي</v>
      </c>
      <c r="D743" s="1" t="str">
        <f>"ملي راه خ مهران پلاک 114"</f>
        <v>ملي راه خ مهران پلاک 114</v>
      </c>
      <c r="E743" s="1" t="s">
        <v>1574</v>
      </c>
    </row>
    <row r="744" spans="1:5">
      <c r="A744" s="1" t="s">
        <v>1441</v>
      </c>
      <c r="B744" s="1" t="str">
        <f>"خوزستان"</f>
        <v>خوزستان</v>
      </c>
      <c r="C744" s="1" t="str">
        <f>"بيت لفته امين"</f>
        <v>بيت لفته امين</v>
      </c>
      <c r="D744" s="1" t="str">
        <f>"سوسنگرد خيابان جنب مجتمع بهزيستي 25 آبان"</f>
        <v>سوسنگرد خيابان جنب مجتمع بهزيستي 25 آبان</v>
      </c>
      <c r="E744" s="1" t="s">
        <v>1574</v>
      </c>
    </row>
    <row r="745" spans="1:5">
      <c r="A745" s="1" t="s">
        <v>1441</v>
      </c>
      <c r="B745" s="1" t="str">
        <f>"مسجد سليمان"</f>
        <v>مسجد سليمان</v>
      </c>
      <c r="C745" s="1" t="str">
        <f>"مددي کاکش مهدي"</f>
        <v>مددي کاکش مهدي</v>
      </c>
      <c r="D745" s="1" t="str">
        <f>"دره اشکفت روبروي آتشنشاني جنب مبل پايتخت"</f>
        <v>دره اشکفت روبروي آتشنشاني جنب مبل پايتخت</v>
      </c>
      <c r="E745" s="1" t="s">
        <v>1574</v>
      </c>
    </row>
    <row r="746" spans="1:5">
      <c r="A746" s="1" t="s">
        <v>1441</v>
      </c>
      <c r="B746" s="1" t="str">
        <f>"آبادان"</f>
        <v>آبادان</v>
      </c>
      <c r="C746" s="1" t="str">
        <f>"شابوني محسن"</f>
        <v>شابوني محسن</v>
      </c>
      <c r="D746" s="1" t="str">
        <f>"لين 7 اصلي مابين ذوالفقار 34و36"</f>
        <v>لين 7 اصلي مابين ذوالفقار 34و36</v>
      </c>
      <c r="E746" s="1" t="s">
        <v>1574</v>
      </c>
    </row>
    <row r="747" spans="1:5">
      <c r="A747" s="1" t="s">
        <v>1441</v>
      </c>
      <c r="B747" s="1" t="str">
        <f>"اهواز"</f>
        <v>اهواز</v>
      </c>
      <c r="C747" s="1" t="str">
        <f>"کرداني محمدرضا"</f>
        <v>کرداني محمدرضا</v>
      </c>
      <c r="D747" s="1" t="str">
        <f>"اهواز خ سلمان فارسي خ مسلم"</f>
        <v>اهواز خ سلمان فارسي خ مسلم</v>
      </c>
      <c r="E747" s="1" t="s">
        <v>1574</v>
      </c>
    </row>
    <row r="748" spans="1:5">
      <c r="A748" s="1" t="s">
        <v>1441</v>
      </c>
      <c r="B748" s="1" t="str">
        <f>"خوزستان"</f>
        <v>خوزستان</v>
      </c>
      <c r="C748" s="1" t="str">
        <f>"خسروي رضا"</f>
        <v>خسروي رضا</v>
      </c>
      <c r="D748" s="1" t="str">
        <f>"هنديجان شمالي خ امام روبروي پارک 18 فروردين"</f>
        <v>هنديجان شمالي خ امام روبروي پارک 18 فروردين</v>
      </c>
      <c r="E748" s="1" t="s">
        <v>1574</v>
      </c>
    </row>
    <row r="749" spans="1:5">
      <c r="A749" s="1" t="s">
        <v>1441</v>
      </c>
      <c r="B749" s="1" t="str">
        <f>"بهبهان"</f>
        <v>بهبهان</v>
      </c>
      <c r="C749" s="1" t="str">
        <f>"گل مهدي امين"</f>
        <v>گل مهدي امين</v>
      </c>
      <c r="D749" s="1" t="str">
        <f>"خ کرم نسب جنب ميدان ميرزا شوقي پ 10"</f>
        <v>خ کرم نسب جنب ميدان ميرزا شوقي پ 10</v>
      </c>
      <c r="E749" s="1" t="s">
        <v>1574</v>
      </c>
    </row>
    <row r="750" spans="1:5">
      <c r="A750" s="1" t="s">
        <v>1441</v>
      </c>
      <c r="B750" s="1" t="str">
        <f>"اهواز"</f>
        <v>اهواز</v>
      </c>
      <c r="C750" s="1" t="str">
        <f>"کربول زاده عليرضا"</f>
        <v>کربول زاده عليرضا</v>
      </c>
      <c r="D750" s="1" t="str">
        <f>"بلوار پاسداران روبروي پمپ بنزين فرهنگيان"</f>
        <v>بلوار پاسداران روبروي پمپ بنزين فرهنگيان</v>
      </c>
      <c r="E750" s="1" t="s">
        <v>1574</v>
      </c>
    </row>
    <row r="751" spans="1:5">
      <c r="A751" s="1" t="s">
        <v>1441</v>
      </c>
      <c r="B751" s="1" t="str">
        <f>"اهواز"</f>
        <v>اهواز</v>
      </c>
      <c r="C751" s="1" t="str">
        <f>"احتشام زاده حسن"</f>
        <v>احتشام زاده حسن</v>
      </c>
      <c r="D751" s="1" t="str">
        <f>"خ انقلاب بين هلالي و فراهاني"</f>
        <v>خ انقلاب بين هلالي و فراهاني</v>
      </c>
      <c r="E751" s="1" t="s">
        <v>1574</v>
      </c>
    </row>
    <row r="752" spans="1:5">
      <c r="A752" s="1" t="s">
        <v>1441</v>
      </c>
      <c r="B752" s="1" t="str">
        <f>"ماهشهر"</f>
        <v>ماهشهر</v>
      </c>
      <c r="C752" s="1" t="str">
        <f>"عيسوي عبدالرحمان"</f>
        <v>عيسوي عبدالرحمان</v>
      </c>
      <c r="D752" s="1" t="str">
        <f>"خيابان ابوذر پلاک 126 فروشگاه عيسوي"</f>
        <v>خيابان ابوذر پلاک 126 فروشگاه عيسوي</v>
      </c>
      <c r="E752" s="1" t="s">
        <v>1574</v>
      </c>
    </row>
    <row r="753" spans="1:5">
      <c r="A753" s="1" t="s">
        <v>1441</v>
      </c>
      <c r="B753" s="1" t="str">
        <f>"اهواز"</f>
        <v>اهواز</v>
      </c>
      <c r="C753" s="1" t="str">
        <f>"صافدل محمدحسن"</f>
        <v>صافدل محمدحسن</v>
      </c>
      <c r="D753" s="1" t="str">
        <f>"کوي زرگان خيابان اتوبان پاسداران خ 10 پاستوريزه فروشگاه قلعه"</f>
        <v>کوي زرگان خيابان اتوبان پاسداران خ 10 پاستوريزه فروشگاه قلعه</v>
      </c>
      <c r="E753" s="1" t="s">
        <v>1574</v>
      </c>
    </row>
    <row r="754" spans="1:5">
      <c r="A754" s="1" t="s">
        <v>1441</v>
      </c>
      <c r="B754" s="1" t="str">
        <f>"رامهرمز"</f>
        <v>رامهرمز</v>
      </c>
      <c r="C754" s="1" t="str">
        <f>"بن رشيد عبدالحسين"</f>
        <v>بن رشيد عبدالحسين</v>
      </c>
      <c r="D754" s="1" t="str">
        <f>"خيابان امت نبش کوچه قائم 5 فروشگاه  MD"</f>
        <v>خيابان امت نبش کوچه قائم 5 فروشگاه  MD</v>
      </c>
      <c r="E754" s="1" t="s">
        <v>1574</v>
      </c>
    </row>
    <row r="755" spans="1:5">
      <c r="A755" s="1" t="s">
        <v>1441</v>
      </c>
      <c r="B755" s="1" t="str">
        <f>"ماهشهر"</f>
        <v>ماهشهر</v>
      </c>
      <c r="C755" s="1" t="str">
        <f>"عبادي مرتضي"</f>
        <v>عبادي مرتضي</v>
      </c>
      <c r="D755" s="1" t="str">
        <f>"خيابان سعيدي خ فرهنگ بعد از درمانگاه شفا"</f>
        <v>خيابان سعيدي خ فرهنگ بعد از درمانگاه شفا</v>
      </c>
      <c r="E755" s="1" t="s">
        <v>1574</v>
      </c>
    </row>
    <row r="756" spans="1:5">
      <c r="A756" s="1" t="s">
        <v>1441</v>
      </c>
      <c r="B756" s="1" t="str">
        <f>"آبادان"</f>
        <v>آبادان</v>
      </c>
      <c r="C756" s="1" t="str">
        <f>"زماني امير جواد"</f>
        <v>زماني امير جواد</v>
      </c>
      <c r="D756" s="1" t="str">
        <f>"احمد اباد"</f>
        <v>احمد اباد</v>
      </c>
      <c r="E756" s="1" t="s">
        <v>1574</v>
      </c>
    </row>
    <row r="757" spans="1:5">
      <c r="A757" s="1" t="s">
        <v>1441</v>
      </c>
      <c r="B757" s="1" t="str">
        <f>"اميديه"</f>
        <v>اميديه</v>
      </c>
      <c r="C757" s="1" t="str">
        <f>"غفاري غلامحسين"</f>
        <v>غفاري غلامحسين</v>
      </c>
      <c r="D757" s="1" t="str">
        <f>"پشت بازار مهاجري  -جنب حوزه زينبيه"</f>
        <v>پشت بازار مهاجري  -جنب حوزه زينبيه</v>
      </c>
      <c r="E757" s="1" t="s">
        <v>1574</v>
      </c>
    </row>
    <row r="758" spans="1:5">
      <c r="A758" s="1" t="s">
        <v>1441</v>
      </c>
      <c r="B758" s="1" t="str">
        <f>"اهواز"</f>
        <v>اهواز</v>
      </c>
      <c r="C758" s="1" t="str">
        <f>"ميلادي يوسف (اهواز)"</f>
        <v>ميلادي يوسف (اهواز)</v>
      </c>
      <c r="D758" s="1" t="str">
        <f>"خ انقلاب بين ناصر خسرو و شيخ بها"</f>
        <v>خ انقلاب بين ناصر خسرو و شيخ بها</v>
      </c>
      <c r="E758" s="1" t="s">
        <v>1574</v>
      </c>
    </row>
    <row r="759" spans="1:5">
      <c r="A759" s="1" t="s">
        <v>1441</v>
      </c>
      <c r="B759" s="1" t="str">
        <f>"بهبهان"</f>
        <v>بهبهان</v>
      </c>
      <c r="C759" s="1" t="str">
        <f>"باغدار مجيد(بهبهان)"</f>
        <v>باغدار مجيد(بهبهان)</v>
      </c>
      <c r="D759" s="1" t="str">
        <f>"خ گرايمي"</f>
        <v>خ گرايمي</v>
      </c>
      <c r="E759" s="1" t="s">
        <v>1574</v>
      </c>
    </row>
    <row r="760" spans="1:5">
      <c r="A760" s="1" t="s">
        <v>1441</v>
      </c>
      <c r="B760" s="1" t="str">
        <f>"ايذه"</f>
        <v>ايذه</v>
      </c>
      <c r="C760" s="1" t="str">
        <f>"ليموچي نيا کيمراد"</f>
        <v>ليموچي نيا کيمراد</v>
      </c>
      <c r="D760" s="1" t="str">
        <f>"ايذه- فلكه اشكبوس نادري"</f>
        <v>ايذه- فلكه اشكبوس نادري</v>
      </c>
      <c r="E760" s="1" t="s">
        <v>1574</v>
      </c>
    </row>
    <row r="761" spans="1:5">
      <c r="A761" s="1" t="s">
        <v>1441</v>
      </c>
      <c r="B761" s="1" t="str">
        <f>"ايذه"</f>
        <v>ايذه</v>
      </c>
      <c r="C761" s="1" t="str">
        <f>"شاه ولي شهرام"</f>
        <v>شاه ولي شهرام</v>
      </c>
      <c r="D761" s="1" t="str">
        <f>"ا"</f>
        <v>ا</v>
      </c>
      <c r="E761" s="1" t="s">
        <v>1574</v>
      </c>
    </row>
    <row r="762" spans="1:5">
      <c r="A762" s="1" t="s">
        <v>1441</v>
      </c>
      <c r="B762" s="1" t="str">
        <f>"رامهرمز"</f>
        <v>رامهرمز</v>
      </c>
      <c r="C762" s="1" t="str">
        <f>"رحماني فر حبيب"</f>
        <v>رحماني فر حبيب</v>
      </c>
      <c r="D762" s="1" t="str">
        <f>"خيابان امام- نرسيده به فلكه ادهم"</f>
        <v>خيابان امام- نرسيده به فلكه ادهم</v>
      </c>
      <c r="E762" s="1" t="s">
        <v>1574</v>
      </c>
    </row>
    <row r="763" spans="1:5">
      <c r="A763" s="1" t="s">
        <v>1441</v>
      </c>
      <c r="B763" s="1" t="str">
        <f>"رامهرمز"</f>
        <v>رامهرمز</v>
      </c>
      <c r="C763" s="1" t="str">
        <f>"سبزواري هوشنگ"</f>
        <v>سبزواري هوشنگ</v>
      </c>
      <c r="D763" s="1" t="str">
        <f>"خيابان امام- نرسيده به فلكه ادهم"</f>
        <v>خيابان امام- نرسيده به فلكه ادهم</v>
      </c>
      <c r="E763" s="1" t="s">
        <v>1574</v>
      </c>
    </row>
    <row r="764" spans="1:5">
      <c r="A764" s="1" t="s">
        <v>1441</v>
      </c>
      <c r="B764" s="1" t="str">
        <f>"انديمشك"</f>
        <v>انديمشك</v>
      </c>
      <c r="C764" s="1" t="str">
        <f>"ستاري فر احمد"</f>
        <v>ستاري فر احمد</v>
      </c>
      <c r="D764" s="1" t="str">
        <f>"جاده خيابان- سد دز"</f>
        <v>جاده خيابان- سد دز</v>
      </c>
      <c r="E764" s="1" t="s">
        <v>1574</v>
      </c>
    </row>
    <row r="765" spans="1:5">
      <c r="A765" s="1" t="s">
        <v>1441</v>
      </c>
      <c r="B765" s="1" t="str">
        <f>"ماهشهر"</f>
        <v>ماهشهر</v>
      </c>
      <c r="C765" s="1" t="str">
        <f>"عتيقي مصطفي"</f>
        <v>عتيقي مصطفي</v>
      </c>
      <c r="D765" s="1" t="str">
        <f>"خيابان امام"</f>
        <v>خيابان امام</v>
      </c>
      <c r="E765" s="1" t="s">
        <v>1574</v>
      </c>
    </row>
    <row r="766" spans="1:5">
      <c r="A766" s="1" t="s">
        <v>1441</v>
      </c>
      <c r="B766" s="1" t="str">
        <f>"دزفول"</f>
        <v>دزفول</v>
      </c>
      <c r="C766" s="1" t="str">
        <f>"جوكار رضا"</f>
        <v>جوكار رضا</v>
      </c>
      <c r="D766" s="1" t="str">
        <f>"دزفول بلوار جمهوري روبروي پمپ بنزين"</f>
        <v>دزفول بلوار جمهوري روبروي پمپ بنزين</v>
      </c>
      <c r="E766" s="1" t="s">
        <v>1574</v>
      </c>
    </row>
    <row r="767" spans="1:5">
      <c r="A767" s="1" t="s">
        <v>1441</v>
      </c>
      <c r="B767" s="1" t="str">
        <f>"خوزستان"</f>
        <v>خوزستان</v>
      </c>
      <c r="C767" s="1" t="str">
        <f>"بيت لفته جميل"</f>
        <v>بيت لفته جميل</v>
      </c>
      <c r="D767" s="1" t="str">
        <f>"سوسنگرد سه راهي حويزه"</f>
        <v>سوسنگرد سه راهي حويزه</v>
      </c>
      <c r="E767" s="1" t="s">
        <v>1574</v>
      </c>
    </row>
    <row r="768" spans="1:5">
      <c r="A768" s="1" t="s">
        <v>1441</v>
      </c>
      <c r="B768" s="1" t="str">
        <f>"شوش"</f>
        <v>شوش</v>
      </c>
      <c r="C768" s="1" t="str">
        <f>"ايماني (شوش) ابراهيم"</f>
        <v>ايماني (شوش) ابراهيم</v>
      </c>
      <c r="D768" s="1" t="str">
        <f>"ا"</f>
        <v>ا</v>
      </c>
      <c r="E768" s="1" t="s">
        <v>1574</v>
      </c>
    </row>
    <row r="769" spans="1:5">
      <c r="A769" s="1" t="s">
        <v>1441</v>
      </c>
      <c r="B769" s="1" t="str">
        <f>"اهواز"</f>
        <v>اهواز</v>
      </c>
      <c r="C769" s="1" t="str">
        <f>"ناوك پور عبد الكريم"</f>
        <v>ناوك پور عبد الكريم</v>
      </c>
      <c r="D769" s="1" t="str">
        <f>"خيابان انقلاب بين زينب وفراهاني"</f>
        <v>خيابان انقلاب بين زينب وفراهاني</v>
      </c>
      <c r="E769" s="1" t="s">
        <v>1574</v>
      </c>
    </row>
    <row r="770" spans="1:5">
      <c r="A770" s="1" t="s">
        <v>1441</v>
      </c>
      <c r="B770" s="1" t="str">
        <f>"ماهشهر"</f>
        <v>ماهشهر</v>
      </c>
      <c r="C770" s="1" t="str">
        <f>"لايامي عبدالحسين"</f>
        <v>لايامي عبدالحسين</v>
      </c>
      <c r="D770" s="1" t="str">
        <f>"خيابان امام- مجتمع تجاري مرواريد جنوب"</f>
        <v>خيابان امام- مجتمع تجاري مرواريد جنوب</v>
      </c>
      <c r="E770" s="1" t="s">
        <v>1574</v>
      </c>
    </row>
    <row r="771" spans="1:5">
      <c r="A771" s="1" t="s">
        <v>1441</v>
      </c>
      <c r="B771" s="1" t="str">
        <f>"اهواز"</f>
        <v>اهواز</v>
      </c>
      <c r="C771" s="1" t="str">
        <f>"احتشام زاده(مصلي) مطهر"</f>
        <v>احتشام زاده(مصلي) مطهر</v>
      </c>
      <c r="D771" s="1" t="str">
        <f>"اتوبان آيت الله بهبهاني- روبروي مصلي"</f>
        <v>اتوبان آيت الله بهبهاني- روبروي مصلي</v>
      </c>
      <c r="E771" s="1" t="s">
        <v>1574</v>
      </c>
    </row>
    <row r="772" spans="1:5">
      <c r="A772" s="1" t="s">
        <v>1441</v>
      </c>
      <c r="B772" s="1" t="str">
        <f>"اهواز"</f>
        <v>اهواز</v>
      </c>
      <c r="C772" s="1" t="str">
        <f>"جمال پور حسين"</f>
        <v>جمال پور حسين</v>
      </c>
      <c r="D772" s="1" t="str">
        <f>"كيان آباد- بين 28 متري اول و خيابان هشتم"</f>
        <v>كيان آباد- بين 28 متري اول و خيابان هشتم</v>
      </c>
      <c r="E772" s="1" t="s">
        <v>1574</v>
      </c>
    </row>
    <row r="773" spans="1:5">
      <c r="A773" s="1" t="s">
        <v>1441</v>
      </c>
      <c r="B773" s="1" t="str">
        <f>"اهواز"</f>
        <v>اهواز</v>
      </c>
      <c r="C773" s="1" t="str">
        <f>"باوي علي"</f>
        <v>باوي علي</v>
      </c>
      <c r="D773" s="1" t="str">
        <f>"كوي عبدالله- جنب پمپ بنزين"</f>
        <v>كوي عبدالله- جنب پمپ بنزين</v>
      </c>
      <c r="E773" s="1" t="s">
        <v>1574</v>
      </c>
    </row>
    <row r="774" spans="1:5">
      <c r="A774" s="1" t="s">
        <v>1441</v>
      </c>
      <c r="B774" s="1" t="str">
        <f>"آبادان"</f>
        <v>آبادان</v>
      </c>
      <c r="C774" s="1" t="str">
        <f>"دهنوي حجت ا..."</f>
        <v>دهنوي حجت ا...</v>
      </c>
      <c r="D774" s="1" t="str">
        <f>"لين4- اصلي9- نبش فرعي"</f>
        <v>لين4- اصلي9- نبش فرعي</v>
      </c>
      <c r="E774" s="1" t="s">
        <v>1574</v>
      </c>
    </row>
    <row r="775" spans="1:5">
      <c r="A775" s="1" t="s">
        <v>1441</v>
      </c>
      <c r="B775" s="1" t="str">
        <f>"شوشتر"</f>
        <v>شوشتر</v>
      </c>
      <c r="C775" s="1" t="str">
        <f>"مرادي زاده علي"</f>
        <v>مرادي زاده علي</v>
      </c>
      <c r="D775" s="1" t="str">
        <f>"دروازه روبروي مسجد امام سجاد"</f>
        <v>دروازه روبروي مسجد امام سجاد</v>
      </c>
      <c r="E775" s="1" t="s">
        <v>1574</v>
      </c>
    </row>
    <row r="776" spans="1:5">
      <c r="A776" s="1" t="s">
        <v>1441</v>
      </c>
      <c r="B776" s="1" t="str">
        <f>"خرمشهر"</f>
        <v>خرمشهر</v>
      </c>
      <c r="C776" s="1" t="str">
        <f>"عنايتي شهرام"</f>
        <v>عنايتي شهرام</v>
      </c>
      <c r="D776" s="1" t="str">
        <f>"چهارراه نقدي"</f>
        <v>چهارراه نقدي</v>
      </c>
      <c r="E776" s="1" t="s">
        <v>1574</v>
      </c>
    </row>
    <row r="777" spans="1:5">
      <c r="A777" s="1" t="s">
        <v>1441</v>
      </c>
      <c r="B777" s="1" t="str">
        <f t="shared" ref="B777:B784" si="10">"اهواز"</f>
        <v>اهواز</v>
      </c>
      <c r="C777" s="1" t="str">
        <f>"نبگاني علي"</f>
        <v>نبگاني علي</v>
      </c>
      <c r="D777" s="1" t="str">
        <f>"خشايار"</f>
        <v>خشايار</v>
      </c>
      <c r="E777" s="1" t="s">
        <v>1574</v>
      </c>
    </row>
    <row r="778" spans="1:5">
      <c r="A778" s="1" t="s">
        <v>1441</v>
      </c>
      <c r="B778" s="1" t="str">
        <f t="shared" si="10"/>
        <v>اهواز</v>
      </c>
      <c r="C778" s="1" t="str">
        <f>"معرف پور محمد"</f>
        <v>معرف پور محمد</v>
      </c>
      <c r="D778" s="1" t="str">
        <f>"خيابان شريعتي- خيابان زند- فروشگاه برج"</f>
        <v>خيابان شريعتي- خيابان زند- فروشگاه برج</v>
      </c>
      <c r="E778" s="1" t="s">
        <v>1574</v>
      </c>
    </row>
    <row r="779" spans="1:5">
      <c r="A779" s="1" t="s">
        <v>1441</v>
      </c>
      <c r="B779" s="1" t="str">
        <f t="shared" si="10"/>
        <v>اهواز</v>
      </c>
      <c r="C779" s="1" t="str">
        <f>"قرباني كاوه"</f>
        <v>قرباني كاوه</v>
      </c>
      <c r="D779" s="1" t="str">
        <f>"زيتون كارمندي- فلكه چيتا"</f>
        <v>زيتون كارمندي- فلكه چيتا</v>
      </c>
      <c r="E779" s="1" t="s">
        <v>1574</v>
      </c>
    </row>
    <row r="780" spans="1:5">
      <c r="A780" s="1" t="s">
        <v>1441</v>
      </c>
      <c r="B780" s="1" t="str">
        <f t="shared" si="10"/>
        <v>اهواز</v>
      </c>
      <c r="C780" s="1" t="str">
        <f>"خباز خوب محمود"</f>
        <v>خباز خوب محمود</v>
      </c>
      <c r="D780" s="1" t="str">
        <f>"اتوبان آيت الله بهبهاني- روبروي مخابرات آزادي"</f>
        <v>اتوبان آيت الله بهبهاني- روبروي مخابرات آزادي</v>
      </c>
      <c r="E780" s="1" t="s">
        <v>1574</v>
      </c>
    </row>
    <row r="781" spans="1:5">
      <c r="A781" s="1" t="s">
        <v>1441</v>
      </c>
      <c r="B781" s="1" t="str">
        <f t="shared" si="10"/>
        <v>اهواز</v>
      </c>
      <c r="C781" s="1" t="str">
        <f>"پوستي علي اكبر"</f>
        <v>پوستي علي اكبر</v>
      </c>
      <c r="D781" s="1" t="str">
        <f>"خيابان شريعتي- نرسيده به سقاخانه"</f>
        <v>خيابان شريعتي- نرسيده به سقاخانه</v>
      </c>
      <c r="E781" s="1" t="s">
        <v>1574</v>
      </c>
    </row>
    <row r="782" spans="1:5">
      <c r="A782" s="1" t="s">
        <v>1441</v>
      </c>
      <c r="B782" s="1" t="str">
        <f t="shared" si="10"/>
        <v>اهواز</v>
      </c>
      <c r="C782" s="1" t="str">
        <f>"بزرگزاده عليرضا"</f>
        <v>بزرگزاده عليرضا</v>
      </c>
      <c r="D782" s="1" t="str">
        <f>"نادري- خيابان طالقاني- بين 30 متري و مسلم"</f>
        <v>نادري- خيابان طالقاني- بين 30 متري و مسلم</v>
      </c>
      <c r="E782" s="1" t="s">
        <v>1574</v>
      </c>
    </row>
    <row r="783" spans="1:5">
      <c r="A783" s="1" t="s">
        <v>1441</v>
      </c>
      <c r="B783" s="1" t="str">
        <f t="shared" si="10"/>
        <v>اهواز</v>
      </c>
      <c r="C783" s="1" t="str">
        <f>"احتشام زاده غلامعلي"</f>
        <v>احتشام زاده غلامعلي</v>
      </c>
      <c r="D783" s="1" t="str">
        <f>"كمپلو- بين سروش و زينب"</f>
        <v>كمپلو- بين سروش و زينب</v>
      </c>
      <c r="E783" s="1" t="s">
        <v>1574</v>
      </c>
    </row>
    <row r="784" spans="1:5">
      <c r="A784" s="1" t="s">
        <v>1441</v>
      </c>
      <c r="B784" s="1" t="str">
        <f t="shared" si="10"/>
        <v>اهواز</v>
      </c>
      <c r="C784" s="1" t="str">
        <f>"آبليموئي محمد"</f>
        <v>آبليموئي محمد</v>
      </c>
      <c r="D784" s="1" t="str">
        <f>"بلوار پاسداران- جنب بانك سپه"</f>
        <v>بلوار پاسداران- جنب بانك سپه</v>
      </c>
      <c r="E784" s="1" t="s">
        <v>1574</v>
      </c>
    </row>
    <row r="785" spans="1:5">
      <c r="A785" s="1" t="s">
        <v>1441</v>
      </c>
      <c r="B785" s="1" t="str">
        <f>"طبس"</f>
        <v>طبس</v>
      </c>
      <c r="C785" s="1" t="str">
        <f>"مظلومي  طبس سيدروح الله"</f>
        <v>مظلومي  طبس سيدروح الله</v>
      </c>
      <c r="D785" s="1" t="str">
        <f>"خيابان امام خميني- روبروي بانک انصار"</f>
        <v>خيابان امام خميني- روبروي بانک انصار</v>
      </c>
      <c r="E785" s="1" t="s">
        <v>1574</v>
      </c>
    </row>
    <row r="786" spans="1:5">
      <c r="A786" s="1" t="s">
        <v>1441</v>
      </c>
      <c r="B786" s="1" t="str">
        <f>"تربت حيدريه"</f>
        <v>تربت حيدريه</v>
      </c>
      <c r="C786" s="1" t="str">
        <f>"شاکري عبدل آبادي  تربت حيدريه علي"</f>
        <v>شاکري عبدل آبادي  تربت حيدريه علي</v>
      </c>
      <c r="D786" s="1" t="str">
        <f>"خ امام رضا بين47و49"</f>
        <v>خ امام رضا بين47و49</v>
      </c>
      <c r="E786" s="1" t="s">
        <v>1574</v>
      </c>
    </row>
    <row r="787" spans="1:5">
      <c r="A787" s="1" t="s">
        <v>1441</v>
      </c>
      <c r="B787" s="1" t="str">
        <f>"گناباد"</f>
        <v>گناباد</v>
      </c>
      <c r="C787" s="1" t="str">
        <f>"اسماعيل زاده   گناباد ابراهيم"</f>
        <v>اسماعيل زاده   گناباد ابراهيم</v>
      </c>
      <c r="D787" s="1" t="str">
        <f>"خ ناصرخسرو-بين8و10"</f>
        <v>خ ناصرخسرو-بين8و10</v>
      </c>
      <c r="E787" s="1" t="s">
        <v>1574</v>
      </c>
    </row>
    <row r="788" spans="1:5">
      <c r="A788" s="1" t="s">
        <v>1441</v>
      </c>
      <c r="B788" s="1" t="str">
        <f>"مشهد"</f>
        <v>مشهد</v>
      </c>
      <c r="C788" s="1" t="str">
        <f>"گلي حسن"</f>
        <v>گلي حسن</v>
      </c>
      <c r="D788" s="1" t="str">
        <f>"بين صبا63و65"</f>
        <v>بين صبا63و65</v>
      </c>
      <c r="E788" s="1" t="s">
        <v>1574</v>
      </c>
    </row>
    <row r="789" spans="1:5">
      <c r="A789" s="1" t="s">
        <v>1441</v>
      </c>
      <c r="B789" s="1" t="str">
        <f>"مشهد"</f>
        <v>مشهد</v>
      </c>
      <c r="C789" s="1" t="str">
        <f>"حيدري ياسر"</f>
        <v>حيدري ياسر</v>
      </c>
      <c r="D789" s="1" t="str">
        <f>"ايرج ميرزا62"</f>
        <v>ايرج ميرزا62</v>
      </c>
      <c r="E789" s="1" t="s">
        <v>1574</v>
      </c>
    </row>
    <row r="790" spans="1:5">
      <c r="A790" s="1" t="s">
        <v>1441</v>
      </c>
      <c r="B790" s="1" t="str">
        <f>"كاشمر"</f>
        <v>كاشمر</v>
      </c>
      <c r="C790" s="1" t="str">
        <f>"جوانشير محسن(کاشمر)"</f>
        <v>جوانشير محسن(کاشمر)</v>
      </c>
      <c r="D790" s="1" t="str">
        <f>"خ دادگستري"</f>
        <v>خ دادگستري</v>
      </c>
      <c r="E790" s="1" t="s">
        <v>1574</v>
      </c>
    </row>
    <row r="791" spans="1:5">
      <c r="A791" s="1" t="s">
        <v>1441</v>
      </c>
      <c r="B791" s="1" t="str">
        <f>"مشهد"</f>
        <v>مشهد</v>
      </c>
      <c r="C791" s="1" t="str">
        <f>"شرکت تجارت و بازرگاني شعباني (خراسان-نظامي شعبه 3)"</f>
        <v>شرکت تجارت و بازرگاني شعباني (خراسان-نظامي شعبه 3)</v>
      </c>
      <c r="D791" s="1" t="str">
        <f>"بين قرني33و35"</f>
        <v>بين قرني33و35</v>
      </c>
      <c r="E791" s="1" t="s">
        <v>1574</v>
      </c>
    </row>
    <row r="792" spans="1:5">
      <c r="A792" s="1" t="s">
        <v>1441</v>
      </c>
      <c r="B792" s="1" t="str">
        <f>"مشهد"</f>
        <v>مشهد</v>
      </c>
      <c r="C792" s="1" t="str">
        <f>"شعبه 2 شرکت تجارت و بازرگاني شعباني (خراسان)"</f>
        <v>شعبه 2 شرکت تجارت و بازرگاني شعباني (خراسان)</v>
      </c>
      <c r="D792" s="1" t="str">
        <f>"کلاهدوز47"</f>
        <v>کلاهدوز47</v>
      </c>
      <c r="E792" s="1" t="s">
        <v>1574</v>
      </c>
    </row>
    <row r="793" spans="1:5">
      <c r="A793" s="1" t="s">
        <v>1441</v>
      </c>
      <c r="B793" s="1" t="str">
        <f>"چناران"</f>
        <v>چناران</v>
      </c>
      <c r="C793" s="1" t="str">
        <f>"فضلي   چناران شعبه 1 جم سوار"</f>
        <v>فضلي   چناران شعبه 1 جم سوار</v>
      </c>
      <c r="D793" s="1" t="str">
        <f>"جنب بنيادشهيد"</f>
        <v>جنب بنيادشهيد</v>
      </c>
      <c r="E793" s="1" t="s">
        <v>1574</v>
      </c>
    </row>
    <row r="794" spans="1:5">
      <c r="A794" s="1" t="s">
        <v>1441</v>
      </c>
      <c r="B794" s="1" t="str">
        <f>"اسفراين"</f>
        <v>اسفراين</v>
      </c>
      <c r="C794" s="1" t="str">
        <f>"پورعرب روح اله"</f>
        <v>پورعرب روح اله</v>
      </c>
      <c r="D794" s="1" t="str">
        <f>"خ امام خميني مقابل بانك صادرات"</f>
        <v>خ امام خميني مقابل بانك صادرات</v>
      </c>
      <c r="E794" s="1" t="s">
        <v>1574</v>
      </c>
    </row>
    <row r="795" spans="1:5">
      <c r="A795" s="1" t="s">
        <v>1441</v>
      </c>
      <c r="B795" s="1" t="str">
        <f>"قوچان"</f>
        <v>قوچان</v>
      </c>
      <c r="C795" s="1" t="str">
        <f>"حميدي(قوچان) ياسر"</f>
        <v>حميدي(قوچان) ياسر</v>
      </c>
      <c r="D795" s="1" t="str">
        <f>"خ مطهري بين4راه چهارم وپنجم"</f>
        <v>خ مطهري بين4راه چهارم وپنجم</v>
      </c>
      <c r="E795" s="1" t="s">
        <v>1574</v>
      </c>
    </row>
    <row r="796" spans="1:5">
      <c r="A796" s="1" t="s">
        <v>1441</v>
      </c>
      <c r="B796" s="1" t="str">
        <f>"قوچان"</f>
        <v>قوچان</v>
      </c>
      <c r="C796" s="1" t="str">
        <f>"عليزاده  قوچان ناصر"</f>
        <v>عليزاده  قوچان ناصر</v>
      </c>
      <c r="D796" s="1" t="str">
        <f>"بازارعشق آباد-خ شهيدشکري"</f>
        <v>بازارعشق آباد-خ شهيدشکري</v>
      </c>
      <c r="E796" s="1" t="s">
        <v>1574</v>
      </c>
    </row>
    <row r="797" spans="1:5">
      <c r="A797" s="1" t="s">
        <v>1441</v>
      </c>
      <c r="B797" s="1" t="str">
        <f>"سبزوار"</f>
        <v>سبزوار</v>
      </c>
      <c r="C797" s="1" t="str">
        <f>"اسماعيلي   سبزوار كاظم"</f>
        <v>اسماعيلي   سبزوار كاظم</v>
      </c>
      <c r="D797" s="1" t="str">
        <f>"خ بيهق  ميدان دروازه عراق"</f>
        <v>خ بيهق  ميدان دروازه عراق</v>
      </c>
      <c r="E797" s="1" t="s">
        <v>1574</v>
      </c>
    </row>
    <row r="798" spans="1:5">
      <c r="A798" s="1" t="s">
        <v>1441</v>
      </c>
      <c r="B798" s="1" t="str">
        <f>"قائن"</f>
        <v>قائن</v>
      </c>
      <c r="C798" s="1" t="str">
        <f>"كاهي  قاين اسماعيل"</f>
        <v>كاهي  قاين اسماعيل</v>
      </c>
      <c r="D798" s="1" t="str">
        <f>"بلوارسيمانشهر"</f>
        <v>بلوارسيمانشهر</v>
      </c>
      <c r="E798" s="1" t="s">
        <v>1574</v>
      </c>
    </row>
    <row r="799" spans="1:5">
      <c r="A799" s="1" t="s">
        <v>1441</v>
      </c>
      <c r="B799" s="1" t="str">
        <f>"نهبندان"</f>
        <v>نهبندان</v>
      </c>
      <c r="C799" s="1" t="str">
        <f>"جهاني حسين (نهبندان)"</f>
        <v>جهاني حسين (نهبندان)</v>
      </c>
      <c r="D799" s="1" t="str">
        <f>"خ شهيدرجايي-مقابل اداره صنعت ومعدن"</f>
        <v>خ شهيدرجايي-مقابل اداره صنعت ومعدن</v>
      </c>
      <c r="E799" s="1" t="s">
        <v>1574</v>
      </c>
    </row>
    <row r="800" spans="1:5">
      <c r="A800" s="1" t="s">
        <v>1441</v>
      </c>
      <c r="B800" s="1" t="str">
        <f>"بيرجند"</f>
        <v>بيرجند</v>
      </c>
      <c r="C800" s="1" t="str">
        <f>"پيله ور مجتبي (بيرجند)"</f>
        <v>پيله ور مجتبي (بيرجند)</v>
      </c>
      <c r="D800" s="1" t="str">
        <f>"خ مدرس-20متري دوم غربي"</f>
        <v>خ مدرس-20متري دوم غربي</v>
      </c>
      <c r="E800" s="1" t="s">
        <v>1574</v>
      </c>
    </row>
    <row r="801" spans="1:5">
      <c r="A801" s="1" t="s">
        <v>1441</v>
      </c>
      <c r="B801" s="1" t="str">
        <f>"خراسان جنوبي"</f>
        <v>خراسان جنوبي</v>
      </c>
      <c r="C801" s="1" t="str">
        <f>"اسدالهي غلامحسين (بيرجند)"</f>
        <v>اسدالهي غلامحسين (بيرجند)</v>
      </c>
      <c r="D801" s="1" t="str">
        <f>"بيرجند-خ مدرس-20متري دوم غربي"</f>
        <v>بيرجند-خ مدرس-20متري دوم غربي</v>
      </c>
      <c r="E801" s="1" t="s">
        <v>1574</v>
      </c>
    </row>
    <row r="802" spans="1:5">
      <c r="A802" s="1" t="s">
        <v>1441</v>
      </c>
      <c r="B802" s="1" t="str">
        <f>"بيرجند"</f>
        <v>بيرجند</v>
      </c>
      <c r="C802" s="1" t="str">
        <f>"كوشافرد-بيرجند حسين"</f>
        <v>كوشافرد-بيرجند حسين</v>
      </c>
      <c r="D802" s="1" t="str">
        <f>"خ  طالقاني نبش15"</f>
        <v>خ  طالقاني نبش15</v>
      </c>
      <c r="E802" s="1" t="s">
        <v>1574</v>
      </c>
    </row>
    <row r="803" spans="1:5">
      <c r="A803" s="1" t="s">
        <v>1441</v>
      </c>
      <c r="B803" s="1" t="str">
        <f>"بيرجند"</f>
        <v>بيرجند</v>
      </c>
      <c r="C803" s="1" t="str">
        <f>"كمال زاده محمد/ بيرجند"</f>
        <v>كمال زاده محمد/ بيرجند</v>
      </c>
      <c r="D803" s="1" t="str">
        <f>"خ مدرس نرسيده به ميدان اول"</f>
        <v>خ مدرس نرسيده به ميدان اول</v>
      </c>
      <c r="E803" s="1" t="s">
        <v>1574</v>
      </c>
    </row>
    <row r="804" spans="1:5">
      <c r="A804" s="1" t="s">
        <v>1441</v>
      </c>
      <c r="B804" s="1" t="str">
        <f>"نيشابور"</f>
        <v>نيشابور</v>
      </c>
      <c r="C804" s="1" t="str">
        <f>"خاني حسين (نيشابور)"</f>
        <v>خاني حسين (نيشابور)</v>
      </c>
      <c r="D804" s="1" t="str">
        <f>"خ فرحبخش غربي"</f>
        <v>خ فرحبخش غربي</v>
      </c>
      <c r="E804" s="1" t="s">
        <v>1574</v>
      </c>
    </row>
    <row r="805" spans="1:5">
      <c r="A805" s="1" t="s">
        <v>1441</v>
      </c>
      <c r="B805" s="1" t="str">
        <f>"نيشابور"</f>
        <v>نيشابور</v>
      </c>
      <c r="C805" s="1" t="str">
        <f>"حسيني-نيشابور ماشاا.."</f>
        <v>حسيني-نيشابور ماشاا..</v>
      </c>
      <c r="D805" s="1" t="str">
        <f>"خ15خرداد"</f>
        <v>خ15خرداد</v>
      </c>
      <c r="E805" s="1" t="s">
        <v>1574</v>
      </c>
    </row>
    <row r="806" spans="1:5">
      <c r="A806" s="1" t="s">
        <v>1441</v>
      </c>
      <c r="B806" s="1" t="str">
        <f>"نيشابور"</f>
        <v>نيشابور</v>
      </c>
      <c r="C806" s="1" t="str">
        <f>"انتظاري حبيب"</f>
        <v>انتظاري حبيب</v>
      </c>
      <c r="D806" s="1" t="str">
        <f>"خ17شهريور-17شهريور32-پ436"</f>
        <v>خ17شهريور-17شهريور32-پ436</v>
      </c>
      <c r="E806" s="1" t="s">
        <v>1574</v>
      </c>
    </row>
    <row r="807" spans="1:5">
      <c r="A807" s="1" t="s">
        <v>1441</v>
      </c>
      <c r="B807" s="1" t="str">
        <f>"گناباد"</f>
        <v>گناباد</v>
      </c>
      <c r="C807" s="1" t="str">
        <f>"جواهري عباس"</f>
        <v>جواهري عباس</v>
      </c>
      <c r="D807" s="1" t="str">
        <f>"خ امام خميني امام خميني12"</f>
        <v>خ امام خميني امام خميني12</v>
      </c>
      <c r="E807" s="1" t="s">
        <v>1574</v>
      </c>
    </row>
    <row r="808" spans="1:5">
      <c r="A808" s="1" t="s">
        <v>1441</v>
      </c>
      <c r="B808" s="1" t="str">
        <f>"گناباد"</f>
        <v>گناباد</v>
      </c>
      <c r="C808" s="1" t="str">
        <f>"جواهري-گناباد محمد"</f>
        <v>جواهري-گناباد محمد</v>
      </c>
      <c r="D808" s="1" t="str">
        <f>"خ امام خميني12"</f>
        <v>خ امام خميني12</v>
      </c>
      <c r="E808" s="1" t="s">
        <v>1574</v>
      </c>
    </row>
    <row r="809" spans="1:5">
      <c r="A809" s="1" t="s">
        <v>1441</v>
      </c>
      <c r="B809" s="1" t="str">
        <f>"فردوس"</f>
        <v>فردوس</v>
      </c>
      <c r="C809" s="1" t="str">
        <f>"تقوايي علي اکبر (فردوس)"</f>
        <v>تقوايي علي اکبر (فردوس)</v>
      </c>
      <c r="D809" s="1" t="str">
        <f>"خ رسالت"</f>
        <v>خ رسالت</v>
      </c>
      <c r="E809" s="1" t="s">
        <v>1574</v>
      </c>
    </row>
    <row r="810" spans="1:5">
      <c r="A810" s="1" t="s">
        <v>1441</v>
      </c>
      <c r="B810" s="1" t="str">
        <f>"برداسكن"</f>
        <v>برداسكن</v>
      </c>
      <c r="C810" s="1" t="str">
        <f>"تالي ناصر (بردسكن)"</f>
        <v>تالي ناصر (بردسكن)</v>
      </c>
      <c r="D810" s="1" t="str">
        <f>"خ فجرشرقي"</f>
        <v>خ فجرشرقي</v>
      </c>
      <c r="E810" s="1" t="s">
        <v>1574</v>
      </c>
    </row>
    <row r="811" spans="1:5">
      <c r="A811" s="1" t="s">
        <v>1441</v>
      </c>
      <c r="B811" s="1" t="str">
        <f>"برداسكن"</f>
        <v>برداسكن</v>
      </c>
      <c r="C811" s="1" t="str">
        <f>"حميدپور اكبر(بردسكن)"</f>
        <v>حميدپور اكبر(بردسكن)</v>
      </c>
      <c r="D811" s="1" t="str">
        <f>"ميدان مرکزي پاساژ پزشکان"</f>
        <v>ميدان مرکزي پاساژ پزشکان</v>
      </c>
      <c r="E811" s="1" t="s">
        <v>1574</v>
      </c>
    </row>
    <row r="812" spans="1:5">
      <c r="A812" s="1" t="s">
        <v>1441</v>
      </c>
      <c r="B812" s="1" t="str">
        <f>"تربت حيدريه"</f>
        <v>تربت حيدريه</v>
      </c>
      <c r="C812" s="1" t="str">
        <f>"علمدار  تربت حيدريه محمد تقي"</f>
        <v>علمدار  تربت حيدريه محمد تقي</v>
      </c>
      <c r="D812" s="1" t="str">
        <f>"خ طالقاني- مقابل طالقاني19"</f>
        <v>خ طالقاني- مقابل طالقاني19</v>
      </c>
      <c r="E812" s="1" t="s">
        <v>1574</v>
      </c>
    </row>
    <row r="813" spans="1:5">
      <c r="A813" s="1" t="s">
        <v>1441</v>
      </c>
      <c r="B813" s="1" t="str">
        <f>"تربت حيدريه"</f>
        <v>تربت حيدريه</v>
      </c>
      <c r="C813" s="1" t="str">
        <f>"احمديان مجتبي (تربت حيدريه)"</f>
        <v>احمديان مجتبي (تربت حيدريه)</v>
      </c>
      <c r="D813" s="1" t="str">
        <f>"خ طالقاني-نرسيده به4راه امام"</f>
        <v>خ طالقاني-نرسيده به4راه امام</v>
      </c>
      <c r="E813" s="1" t="s">
        <v>1574</v>
      </c>
    </row>
    <row r="814" spans="1:5">
      <c r="A814" s="1" t="s">
        <v>1441</v>
      </c>
      <c r="B814" s="1" t="str">
        <f>"تايباد"</f>
        <v>تايباد</v>
      </c>
      <c r="C814" s="1" t="str">
        <f>"اكبر زاده  تايباد حسين"</f>
        <v>اكبر زاده  تايباد حسين</v>
      </c>
      <c r="D814" s="1" t="str">
        <f>"خ جامي غربي"</f>
        <v>خ جامي غربي</v>
      </c>
      <c r="E814" s="1" t="s">
        <v>1574</v>
      </c>
    </row>
    <row r="815" spans="1:5">
      <c r="A815" s="1" t="s">
        <v>1441</v>
      </c>
      <c r="B815" s="1" t="str">
        <f>"خراسان رضوي"</f>
        <v>خراسان رضوي</v>
      </c>
      <c r="C815" s="1" t="str">
        <f>"احمدي(تربت جام) محمود"</f>
        <v>احمدي(تربت جام) محمود</v>
      </c>
      <c r="D815" s="1" t="str">
        <f>"تربت جام-خ جامي-روبروي دانشگاه پيام نور"</f>
        <v>تربت جام-خ جامي-روبروي دانشگاه پيام نور</v>
      </c>
      <c r="E815" s="1" t="s">
        <v>1574</v>
      </c>
    </row>
    <row r="816" spans="1:5">
      <c r="A816" s="1" t="s">
        <v>1441</v>
      </c>
      <c r="B816" s="1" t="str">
        <f>"تربت جام"</f>
        <v>تربت جام</v>
      </c>
      <c r="C816" s="1" t="str">
        <f>"پهلوان محمود (تربت جام )‌"</f>
        <v>پهلوان محمود (تربت جام )‌</v>
      </c>
      <c r="D816" s="1" t="str">
        <f>"خ تايباد-مقابل هلال احمر"</f>
        <v>خ تايباد-مقابل هلال احمر</v>
      </c>
      <c r="E816" s="1" t="s">
        <v>1574</v>
      </c>
    </row>
    <row r="817" spans="1:5">
      <c r="A817" s="1" t="s">
        <v>1441</v>
      </c>
      <c r="B817" s="1" t="str">
        <f>"تربت جام"</f>
        <v>تربت جام</v>
      </c>
      <c r="C817" s="1" t="str">
        <f>"پاك نژاد شايان (تربت جام)"</f>
        <v>پاك نژاد شايان (تربت جام)</v>
      </c>
      <c r="D817" s="1" t="str">
        <f>"خ آرامگاه-جنب هيئت حسيني"</f>
        <v>خ آرامگاه-جنب هيئت حسيني</v>
      </c>
      <c r="E817" s="1" t="s">
        <v>1574</v>
      </c>
    </row>
    <row r="818" spans="1:5">
      <c r="A818" s="1" t="s">
        <v>1441</v>
      </c>
      <c r="B818" s="1" t="str">
        <f>"خراسان رضوي"</f>
        <v>خراسان رضوي</v>
      </c>
      <c r="C818" s="1" t="str">
        <f>"نودهي ابراهيم (شعبه 2)"</f>
        <v>نودهي ابراهيم (شعبه 2)</v>
      </c>
      <c r="D818" s="1" t="str">
        <f>"بلوار معلم بين معلم 43 و 45"</f>
        <v>بلوار معلم بين معلم 43 و 45</v>
      </c>
      <c r="E818" s="1" t="s">
        <v>1574</v>
      </c>
    </row>
    <row r="819" spans="1:5">
      <c r="A819" s="1" t="s">
        <v>1441</v>
      </c>
      <c r="B819" s="1" t="str">
        <f>"مشهد"</f>
        <v>مشهد</v>
      </c>
      <c r="C819" s="1" t="str">
        <f>"سابق زاده محمد"</f>
        <v>سابق زاده محمد</v>
      </c>
      <c r="D819" s="1" t="str">
        <f>"شهرک شهيد رجايي حر 24 فروشگاه سابق زاده"</f>
        <v>شهرک شهيد رجايي حر 24 فروشگاه سابق زاده</v>
      </c>
      <c r="E819" s="1" t="s">
        <v>1574</v>
      </c>
    </row>
    <row r="820" spans="1:5">
      <c r="A820" s="1" t="s">
        <v>1441</v>
      </c>
      <c r="B820" s="1" t="str">
        <f>"مشهد"</f>
        <v>مشهد</v>
      </c>
      <c r="C820" s="1" t="str">
        <f>"شرکت ستاره آرمان طوس"</f>
        <v>شرکت ستاره آرمان طوس</v>
      </c>
      <c r="D820" s="1" t="str">
        <f>"نواب صفوي 16"</f>
        <v>نواب صفوي 16</v>
      </c>
      <c r="E820" s="1" t="s">
        <v>1574</v>
      </c>
    </row>
    <row r="821" spans="1:5">
      <c r="A821" s="1" t="s">
        <v>1441</v>
      </c>
      <c r="B821" s="1" t="str">
        <f>"مشهد"</f>
        <v>مشهد</v>
      </c>
      <c r="C821" s="1" t="str">
        <f>"فلاح عباسعلي(سرخس)"</f>
        <v>فلاح عباسعلي(سرخس)</v>
      </c>
      <c r="D821" s="1" t="str">
        <f>"خيابان اميرکبير، پلاک 15، بازرگاني فلاح"</f>
        <v>خيابان اميرکبير، پلاک 15، بازرگاني فلاح</v>
      </c>
      <c r="E821" s="1" t="s">
        <v>1574</v>
      </c>
    </row>
    <row r="822" spans="1:5">
      <c r="A822" s="1" t="s">
        <v>1441</v>
      </c>
      <c r="B822" s="1" t="str">
        <f>"خراسان رضوي"</f>
        <v>خراسان رضوي</v>
      </c>
      <c r="C822" s="1" t="str">
        <f>"نودهي ابراهيم(شعبه 1)"</f>
        <v>نودهي ابراهيم(شعبه 1)</v>
      </c>
      <c r="D822" s="1" t="str">
        <f>"بلوار معلم بين معلم 43 و 45"</f>
        <v>بلوار معلم بين معلم 43 و 45</v>
      </c>
      <c r="E822" s="1" t="s">
        <v>1574</v>
      </c>
    </row>
    <row r="823" spans="1:5">
      <c r="A823" s="1" t="s">
        <v>1441</v>
      </c>
      <c r="B823" s="1" t="str">
        <f t="shared" ref="B823:B858" si="11">"مشهد"</f>
        <v>مشهد</v>
      </c>
      <c r="C823" s="1" t="str">
        <f>"طوسي بابک(فروشگاه کلون )"</f>
        <v>طوسي بابک(فروشگاه کلون )</v>
      </c>
      <c r="D823" s="1" t="str">
        <f>"دانشگاه13"</f>
        <v>دانشگاه13</v>
      </c>
      <c r="E823" s="1" t="s">
        <v>1574</v>
      </c>
    </row>
    <row r="824" spans="1:5">
      <c r="A824" s="1" t="s">
        <v>1441</v>
      </c>
      <c r="B824" s="1" t="str">
        <f t="shared" si="11"/>
        <v>مشهد</v>
      </c>
      <c r="C824" s="1" t="str">
        <f>"اميني مجتبي"</f>
        <v>اميني مجتبي</v>
      </c>
      <c r="D824" s="1" t="str">
        <f>"4راه ابوطالب-پاساژبرجيس-واحد52"</f>
        <v>4راه ابوطالب-پاساژبرجيس-واحد52</v>
      </c>
      <c r="E824" s="1" t="s">
        <v>1574</v>
      </c>
    </row>
    <row r="825" spans="1:5">
      <c r="A825" s="1" t="s">
        <v>1441</v>
      </c>
      <c r="B825" s="1" t="str">
        <f t="shared" si="11"/>
        <v>مشهد</v>
      </c>
      <c r="C825" s="1" t="str">
        <f>"آقايي مجيد"</f>
        <v>آقايي مجيد</v>
      </c>
      <c r="D825" s="1" t="str">
        <f>"بين ابوطالب37و39"</f>
        <v>بين ابوطالب37و39</v>
      </c>
      <c r="E825" s="1" t="s">
        <v>1574</v>
      </c>
    </row>
    <row r="826" spans="1:5">
      <c r="A826" s="1" t="s">
        <v>1441</v>
      </c>
      <c r="B826" s="1" t="str">
        <f t="shared" si="11"/>
        <v>مشهد</v>
      </c>
      <c r="C826" s="1" t="str">
        <f>"تركي داود"</f>
        <v>تركي داود</v>
      </c>
      <c r="D826" s="1" t="str">
        <f>"بلوارتوس"</f>
        <v>بلوارتوس</v>
      </c>
      <c r="E826" s="1" t="s">
        <v>1574</v>
      </c>
    </row>
    <row r="827" spans="1:5">
      <c r="A827" s="1" t="s">
        <v>1441</v>
      </c>
      <c r="B827" s="1" t="str">
        <f t="shared" si="11"/>
        <v>مشهد</v>
      </c>
      <c r="C827" s="1" t="str">
        <f>"پوري محسن"</f>
        <v>پوري محسن</v>
      </c>
      <c r="D827" s="1" t="str">
        <f>"4راه ابوطالب-پاساژبرجيس-واحد14"</f>
        <v>4راه ابوطالب-پاساژبرجيس-واحد14</v>
      </c>
      <c r="E827" s="1" t="s">
        <v>1574</v>
      </c>
    </row>
    <row r="828" spans="1:5">
      <c r="A828" s="1" t="s">
        <v>1441</v>
      </c>
      <c r="B828" s="1" t="str">
        <f t="shared" si="11"/>
        <v>مشهد</v>
      </c>
      <c r="C828" s="1" t="str">
        <f>"يزداني امير حسين"</f>
        <v>يزداني امير حسين</v>
      </c>
      <c r="D828" s="1" t="str">
        <f>"خ فاطميه-جنب نان فانتزي"</f>
        <v>خ فاطميه-جنب نان فانتزي</v>
      </c>
      <c r="E828" s="1" t="s">
        <v>1574</v>
      </c>
    </row>
    <row r="829" spans="1:5">
      <c r="A829" s="1" t="s">
        <v>1441</v>
      </c>
      <c r="B829" s="1" t="str">
        <f t="shared" si="11"/>
        <v>مشهد</v>
      </c>
      <c r="C829" s="1" t="str">
        <f>"پور احمد جواد"</f>
        <v>پور احمد جواد</v>
      </c>
      <c r="D829" s="1" t="str">
        <f>"خ دستغيب-بين7و9"</f>
        <v>خ دستغيب-بين7و9</v>
      </c>
      <c r="E829" s="1" t="s">
        <v>1574</v>
      </c>
    </row>
    <row r="830" spans="1:5">
      <c r="A830" s="1" t="s">
        <v>1441</v>
      </c>
      <c r="B830" s="1" t="str">
        <f t="shared" si="11"/>
        <v>مشهد</v>
      </c>
      <c r="C830" s="1" t="str">
        <f>"غلامزاده مجتبي"</f>
        <v>غلامزاده مجتبي</v>
      </c>
      <c r="D830" s="1" t="str">
        <f>"پاساژبرجيس-واحد44"</f>
        <v>پاساژبرجيس-واحد44</v>
      </c>
      <c r="E830" s="1" t="s">
        <v>1574</v>
      </c>
    </row>
    <row r="831" spans="1:5">
      <c r="A831" s="1" t="s">
        <v>1441</v>
      </c>
      <c r="B831" s="1" t="str">
        <f t="shared" si="11"/>
        <v>مشهد</v>
      </c>
      <c r="C831" s="1" t="str">
        <f>"رضايي هادي"</f>
        <v>رضايي هادي</v>
      </c>
      <c r="D831" s="1" t="str">
        <f>"بين فلاحي13و15"</f>
        <v>بين فلاحي13و15</v>
      </c>
      <c r="E831" s="1" t="s">
        <v>1574</v>
      </c>
    </row>
    <row r="832" spans="1:5">
      <c r="A832" s="1" t="s">
        <v>1441</v>
      </c>
      <c r="B832" s="1" t="str">
        <f t="shared" si="11"/>
        <v>مشهد</v>
      </c>
      <c r="C832" s="1" t="str">
        <f>"طوسي بابك"</f>
        <v>طوسي بابك</v>
      </c>
      <c r="D832" s="1" t="str">
        <f>"دانشگاه13"</f>
        <v>دانشگاه13</v>
      </c>
      <c r="E832" s="1" t="s">
        <v>1574</v>
      </c>
    </row>
    <row r="833" spans="1:5">
      <c r="A833" s="1" t="s">
        <v>1441</v>
      </c>
      <c r="B833" s="1" t="str">
        <f t="shared" si="11"/>
        <v>مشهد</v>
      </c>
      <c r="C833" s="1" t="str">
        <f>"اکبرزاده امير"</f>
        <v>اکبرزاده امير</v>
      </c>
      <c r="D833" s="1" t="str">
        <f>"نبش انديشه9"</f>
        <v>نبش انديشه9</v>
      </c>
      <c r="E833" s="1" t="s">
        <v>1574</v>
      </c>
    </row>
    <row r="834" spans="1:5">
      <c r="A834" s="1" t="s">
        <v>1441</v>
      </c>
      <c r="B834" s="1" t="str">
        <f t="shared" si="11"/>
        <v>مشهد</v>
      </c>
      <c r="C834" s="1" t="str">
        <f>"خياباني علي"</f>
        <v>خياباني علي</v>
      </c>
      <c r="D834" s="1" t="str">
        <f>"ميدان17شهريور"</f>
        <v>ميدان17شهريور</v>
      </c>
      <c r="E834" s="1" t="s">
        <v>1574</v>
      </c>
    </row>
    <row r="835" spans="1:5">
      <c r="A835" s="1" t="s">
        <v>1441</v>
      </c>
      <c r="B835" s="1" t="str">
        <f t="shared" si="11"/>
        <v>مشهد</v>
      </c>
      <c r="C835" s="1" t="str">
        <f>"پورحسين رضا"</f>
        <v>پورحسين رضا</v>
      </c>
      <c r="D835" s="1" t="str">
        <f>"نبش وکيل آباد26"</f>
        <v>نبش وکيل آباد26</v>
      </c>
      <c r="E835" s="1" t="s">
        <v>1574</v>
      </c>
    </row>
    <row r="836" spans="1:5">
      <c r="A836" s="1" t="s">
        <v>1441</v>
      </c>
      <c r="B836" s="1" t="str">
        <f t="shared" si="11"/>
        <v>مشهد</v>
      </c>
      <c r="C836" s="1" t="str">
        <f>"اعتمادي مهدي"</f>
        <v>اعتمادي مهدي</v>
      </c>
      <c r="D836" s="1" t="str">
        <f>"بلوار امامت"</f>
        <v>بلوار امامت</v>
      </c>
      <c r="E836" s="1" t="s">
        <v>1574</v>
      </c>
    </row>
    <row r="837" spans="1:5">
      <c r="A837" s="1" t="s">
        <v>1441</v>
      </c>
      <c r="B837" s="1" t="str">
        <f t="shared" si="11"/>
        <v>مشهد</v>
      </c>
      <c r="C837" s="1" t="str">
        <f>"سرجامي علي"</f>
        <v>سرجامي علي</v>
      </c>
      <c r="D837" s="1" t="str">
        <f>"بلوار شهيدرستمي-رستمي17"</f>
        <v>بلوار شهيدرستمي-رستمي17</v>
      </c>
      <c r="E837" s="1" t="s">
        <v>1574</v>
      </c>
    </row>
    <row r="838" spans="1:5">
      <c r="A838" s="1" t="s">
        <v>1441</v>
      </c>
      <c r="B838" s="1" t="str">
        <f t="shared" si="11"/>
        <v>مشهد</v>
      </c>
      <c r="C838" s="1" t="str">
        <f>"نوقندي احد"</f>
        <v>نوقندي احد</v>
      </c>
      <c r="D838" s="1" t="str">
        <f>"جاده سيمان-دهرود"</f>
        <v>جاده سيمان-دهرود</v>
      </c>
      <c r="E838" s="1" t="s">
        <v>1574</v>
      </c>
    </row>
    <row r="839" spans="1:5">
      <c r="A839" s="1" t="s">
        <v>1441</v>
      </c>
      <c r="B839" s="1" t="str">
        <f t="shared" si="11"/>
        <v>مشهد</v>
      </c>
      <c r="C839" s="1" t="str">
        <f>"حسيني علي (مصلي)"</f>
        <v>حسيني علي (مصلي)</v>
      </c>
      <c r="D839" s="1" t="str">
        <f>"بين مصلي26و28"</f>
        <v>بين مصلي26و28</v>
      </c>
      <c r="E839" s="1" t="s">
        <v>1574</v>
      </c>
    </row>
    <row r="840" spans="1:5">
      <c r="A840" s="1" t="s">
        <v>1441</v>
      </c>
      <c r="B840" s="1" t="str">
        <f t="shared" si="11"/>
        <v>مشهد</v>
      </c>
      <c r="C840" s="1" t="str">
        <f>"سوداگر علي اكبر"</f>
        <v>سوداگر علي اكبر</v>
      </c>
      <c r="D840" s="1" t="str">
        <f>"شهرک باهنر-حر94"</f>
        <v>شهرک باهنر-حر94</v>
      </c>
      <c r="E840" s="1" t="s">
        <v>1574</v>
      </c>
    </row>
    <row r="841" spans="1:5">
      <c r="A841" s="1" t="s">
        <v>1441</v>
      </c>
      <c r="B841" s="1" t="str">
        <f t="shared" si="11"/>
        <v>مشهد</v>
      </c>
      <c r="C841" s="1" t="str">
        <f>"بهشتي محمد علي"</f>
        <v>بهشتي محمد علي</v>
      </c>
      <c r="D841" s="1" t="str">
        <f>"بلوارسرافرازان-پايداري7"</f>
        <v>بلوارسرافرازان-پايداري7</v>
      </c>
      <c r="E841" s="1" t="s">
        <v>1574</v>
      </c>
    </row>
    <row r="842" spans="1:5">
      <c r="A842" s="1" t="s">
        <v>1441</v>
      </c>
      <c r="B842" s="1" t="str">
        <f t="shared" si="11"/>
        <v>مشهد</v>
      </c>
      <c r="C842" s="1" t="str">
        <f>"اسدي رجب علي"</f>
        <v>اسدي رجب علي</v>
      </c>
      <c r="D842" s="1" t="str">
        <f>"پيروزي27"</f>
        <v>پيروزي27</v>
      </c>
      <c r="E842" s="1" t="s">
        <v>1574</v>
      </c>
    </row>
    <row r="843" spans="1:5">
      <c r="A843" s="1" t="s">
        <v>1441</v>
      </c>
      <c r="B843" s="1" t="str">
        <f t="shared" si="11"/>
        <v>مشهد</v>
      </c>
      <c r="C843" s="1" t="str">
        <f>"شاهرودي جواد"</f>
        <v>شاهرودي جواد</v>
      </c>
      <c r="D843" s="1" t="str">
        <f>"بلوارقرني مقابل مسجداسكندري"</f>
        <v>بلوارقرني مقابل مسجداسكندري</v>
      </c>
      <c r="E843" s="1" t="s">
        <v>1574</v>
      </c>
    </row>
    <row r="844" spans="1:5">
      <c r="A844" s="1" t="s">
        <v>1441</v>
      </c>
      <c r="B844" s="1" t="str">
        <f t="shared" si="11"/>
        <v>مشهد</v>
      </c>
      <c r="C844" s="1" t="str">
        <f>"مهدوي حبيب"</f>
        <v>مهدوي حبيب</v>
      </c>
      <c r="D844" s="1" t="str">
        <f>"بلوار ابوطالب ابوطالب 33"</f>
        <v>بلوار ابوطالب ابوطالب 33</v>
      </c>
      <c r="E844" s="1" t="s">
        <v>1574</v>
      </c>
    </row>
    <row r="845" spans="1:5">
      <c r="A845" s="1" t="s">
        <v>1441</v>
      </c>
      <c r="B845" s="1" t="str">
        <f t="shared" si="11"/>
        <v>مشهد</v>
      </c>
      <c r="C845" s="1" t="str">
        <f>"قاسميان محمد"</f>
        <v>قاسميان محمد</v>
      </c>
      <c r="D845" s="1" t="str">
        <f>"پاساژبرجيس-واحد12"</f>
        <v>پاساژبرجيس-واحد12</v>
      </c>
      <c r="E845" s="1" t="s">
        <v>1574</v>
      </c>
    </row>
    <row r="846" spans="1:5">
      <c r="A846" s="1" t="s">
        <v>1441</v>
      </c>
      <c r="B846" s="1" t="str">
        <f t="shared" si="11"/>
        <v>مشهد</v>
      </c>
      <c r="C846" s="1" t="str">
        <f>"اخگري محمد رضا"</f>
        <v>اخگري محمد رضا</v>
      </c>
      <c r="D846" s="1" t="str">
        <f>"قرني24"</f>
        <v>قرني24</v>
      </c>
      <c r="E846" s="1" t="s">
        <v>1574</v>
      </c>
    </row>
    <row r="847" spans="1:5">
      <c r="A847" s="1" t="s">
        <v>1441</v>
      </c>
      <c r="B847" s="1" t="str">
        <f t="shared" si="11"/>
        <v>مشهد</v>
      </c>
      <c r="C847" s="1" t="str">
        <f>"ايزدخواه حسين"</f>
        <v>ايزدخواه حسين</v>
      </c>
      <c r="D847" s="1" t="str">
        <f>"خ اميرکبير- بين جهانآرا2و4"</f>
        <v>خ اميرکبير- بين جهانآرا2و4</v>
      </c>
      <c r="E847" s="1" t="s">
        <v>1574</v>
      </c>
    </row>
    <row r="848" spans="1:5">
      <c r="A848" s="1" t="s">
        <v>1441</v>
      </c>
      <c r="B848" s="1" t="str">
        <f t="shared" si="11"/>
        <v>مشهد</v>
      </c>
      <c r="C848" s="1" t="str">
        <f>"وثوقي  مرتضي"</f>
        <v>وثوقي  مرتضي</v>
      </c>
      <c r="D848" s="1" t="str">
        <f>"بين قرني29و31"</f>
        <v>بين قرني29و31</v>
      </c>
      <c r="E848" s="1" t="s">
        <v>1574</v>
      </c>
    </row>
    <row r="849" spans="1:5">
      <c r="A849" s="1" t="s">
        <v>1441</v>
      </c>
      <c r="B849" s="1" t="str">
        <f t="shared" si="11"/>
        <v>مشهد</v>
      </c>
      <c r="C849" s="1" t="str">
        <f>"ممتهن-مرادي محسن"</f>
        <v>ممتهن-مرادي محسن</v>
      </c>
      <c r="D849" s="1" t="str">
        <f>"خ عامل- بين70و72"</f>
        <v>خ عامل- بين70و72</v>
      </c>
      <c r="E849" s="1" t="s">
        <v>1574</v>
      </c>
    </row>
    <row r="850" spans="1:5">
      <c r="A850" s="1" t="s">
        <v>1441</v>
      </c>
      <c r="B850" s="1" t="str">
        <f t="shared" si="11"/>
        <v>مشهد</v>
      </c>
      <c r="C850" s="1" t="str">
        <f>"معتبر مجيد"</f>
        <v>معتبر مجيد</v>
      </c>
      <c r="D850" s="1" t="str">
        <f>"انتهاي پيروزي10"</f>
        <v>انتهاي پيروزي10</v>
      </c>
      <c r="E850" s="1" t="s">
        <v>1574</v>
      </c>
    </row>
    <row r="851" spans="1:5">
      <c r="A851" s="1" t="s">
        <v>1441</v>
      </c>
      <c r="B851" s="1" t="str">
        <f t="shared" si="11"/>
        <v>مشهد</v>
      </c>
      <c r="C851" s="1" t="str">
        <f>"عرفاني زاده محمدرضا"</f>
        <v>عرفاني زاده محمدرضا</v>
      </c>
      <c r="D851" s="1" t="str">
        <f>"بين معلم43و45"</f>
        <v>بين معلم43و45</v>
      </c>
      <c r="E851" s="1" t="s">
        <v>1574</v>
      </c>
    </row>
    <row r="852" spans="1:5">
      <c r="A852" s="1" t="s">
        <v>1441</v>
      </c>
      <c r="B852" s="1" t="str">
        <f t="shared" si="11"/>
        <v>مشهد</v>
      </c>
      <c r="C852" s="1" t="str">
        <f>"ظريف  مسعود"</f>
        <v>ظريف  مسعود</v>
      </c>
      <c r="D852" s="1" t="str">
        <f>"مقابل عبدالمطلب26"</f>
        <v>مقابل عبدالمطلب26</v>
      </c>
      <c r="E852" s="1" t="s">
        <v>1574</v>
      </c>
    </row>
    <row r="853" spans="1:5">
      <c r="A853" s="1" t="s">
        <v>1441</v>
      </c>
      <c r="B853" s="1" t="str">
        <f t="shared" si="11"/>
        <v>مشهد</v>
      </c>
      <c r="C853" s="1" t="str">
        <f>"صبوري فرشاد"</f>
        <v>صبوري فرشاد</v>
      </c>
      <c r="D853" s="1" t="str">
        <f>"بلوارفلسطين-بين15و17"</f>
        <v>بلوارفلسطين-بين15و17</v>
      </c>
      <c r="E853" s="1" t="s">
        <v>1574</v>
      </c>
    </row>
    <row r="854" spans="1:5">
      <c r="A854" s="1" t="s">
        <v>1441</v>
      </c>
      <c r="B854" s="1" t="str">
        <f t="shared" si="11"/>
        <v>مشهد</v>
      </c>
      <c r="C854" s="1" t="str">
        <f>"سلامتي صادق"</f>
        <v>سلامتي صادق</v>
      </c>
      <c r="D854" s="1" t="str">
        <f>"پاساژبرجيس-واحد30"</f>
        <v>پاساژبرجيس-واحد30</v>
      </c>
      <c r="E854" s="1" t="s">
        <v>1574</v>
      </c>
    </row>
    <row r="855" spans="1:5">
      <c r="A855" s="1" t="s">
        <v>1441</v>
      </c>
      <c r="B855" s="1" t="str">
        <f t="shared" si="11"/>
        <v>مشهد</v>
      </c>
      <c r="C855" s="1" t="str">
        <f>"بلوريان مهدي"</f>
        <v>بلوريان مهدي</v>
      </c>
      <c r="D855" s="1" t="str">
        <f>"جنب پل هاشميه- کابينت رويال"</f>
        <v>جنب پل هاشميه- کابينت رويال</v>
      </c>
      <c r="E855" s="1" t="s">
        <v>1574</v>
      </c>
    </row>
    <row r="856" spans="1:5">
      <c r="A856" s="1" t="s">
        <v>1441</v>
      </c>
      <c r="B856" s="1" t="str">
        <f t="shared" si="11"/>
        <v>مشهد</v>
      </c>
      <c r="C856" s="1" t="str">
        <f>"بگلري مصطفي"</f>
        <v>بگلري مصطفي</v>
      </c>
      <c r="D856" s="1" t="str">
        <f>"کلاهدوز47"</f>
        <v>کلاهدوز47</v>
      </c>
      <c r="E856" s="1" t="s">
        <v>1574</v>
      </c>
    </row>
    <row r="857" spans="1:5">
      <c r="A857" s="1" t="s">
        <v>1441</v>
      </c>
      <c r="B857" s="1" t="str">
        <f t="shared" si="11"/>
        <v>مشهد</v>
      </c>
      <c r="C857" s="1" t="str">
        <f>"اردكانيان محمد"</f>
        <v>اردكانيان محمد</v>
      </c>
      <c r="D857" s="1" t="str">
        <f>"مقابل آخوندخراساني13"</f>
        <v>مقابل آخوندخراساني13</v>
      </c>
      <c r="E857" s="1" t="s">
        <v>1574</v>
      </c>
    </row>
    <row r="858" spans="1:5">
      <c r="A858" s="1" t="s">
        <v>1441</v>
      </c>
      <c r="B858" s="1" t="str">
        <f t="shared" si="11"/>
        <v>مشهد</v>
      </c>
      <c r="C858" s="1" t="str">
        <f>"احمديان محمدعلي"</f>
        <v>احمديان محمدعلي</v>
      </c>
      <c r="D858" s="1" t="str">
        <f>"بلوارپيروزي-نبش پيروزي43"</f>
        <v>بلوارپيروزي-نبش پيروزي43</v>
      </c>
      <c r="E858" s="1" t="s">
        <v>1574</v>
      </c>
    </row>
    <row r="859" spans="1:5">
      <c r="A859" s="1" t="s">
        <v>1441</v>
      </c>
      <c r="B859" s="1" t="str">
        <f>"طبس"</f>
        <v>طبس</v>
      </c>
      <c r="C859" s="1" t="str">
        <f>"ا... بخش پور بلال(طبس)"</f>
        <v>ا... بخش پور بلال(طبس)</v>
      </c>
      <c r="D859" s="1" t="str">
        <f>"طبس- ميدان آزادگان- فروشگاه الله بخش پور"</f>
        <v>طبس- ميدان آزادگان- فروشگاه الله بخش پور</v>
      </c>
      <c r="E859" s="1" t="s">
        <v>1574</v>
      </c>
    </row>
    <row r="860" spans="1:5">
      <c r="A860" s="1" t="s">
        <v>1441</v>
      </c>
      <c r="B860" s="1" t="str">
        <f>"اصفهان"</f>
        <v>اصفهان</v>
      </c>
      <c r="C860" s="1" t="str">
        <f>"فروشگاه 110(اصفهان)"</f>
        <v>فروشگاه 110(اصفهان)</v>
      </c>
      <c r="D860" s="1" t="str">
        <f>"لردگان - آلوني - فروشگاه 110"</f>
        <v>لردگان - آلوني - فروشگاه 110</v>
      </c>
      <c r="E860" s="1" t="s">
        <v>1574</v>
      </c>
    </row>
    <row r="861" spans="1:5">
      <c r="A861" s="1" t="s">
        <v>1441</v>
      </c>
      <c r="B861" s="1" t="str">
        <f>"بروجن"</f>
        <v>بروجن</v>
      </c>
      <c r="C861" s="1" t="str">
        <f>"ميرزاييان بهروز"</f>
        <v>ميرزاييان بهروز</v>
      </c>
      <c r="D861" s="1" t="str">
        <f>"بروجن ميدان شهرداري- خيابان حافظ روبروي پاساژ حافظ- فروشگاه برسام"</f>
        <v>بروجن ميدان شهرداري- خيابان حافظ روبروي پاساژ حافظ- فروشگاه برسام</v>
      </c>
      <c r="E861" s="1" t="s">
        <v>1574</v>
      </c>
    </row>
    <row r="862" spans="1:5">
      <c r="A862" s="1" t="s">
        <v>1441</v>
      </c>
      <c r="B862" s="1" t="str">
        <f>"شهركرد"</f>
        <v>شهركرد</v>
      </c>
      <c r="C862" s="1" t="str">
        <f>"احمدي امراله (شهركرد)"</f>
        <v>احمدي امراله (شهركرد)</v>
      </c>
      <c r="D862" s="1" t="str">
        <f>"خيابان مفتح- چهارراه نامجو- فروشگاه احمدي"</f>
        <v>خيابان مفتح- چهارراه نامجو- فروشگاه احمدي</v>
      </c>
      <c r="E862" s="1" t="s">
        <v>1574</v>
      </c>
    </row>
    <row r="863" spans="1:5">
      <c r="A863" s="1" t="s">
        <v>1441</v>
      </c>
      <c r="B863" s="1" t="str">
        <f>"شهركرد"</f>
        <v>شهركرد</v>
      </c>
      <c r="C863" s="1" t="str">
        <f>"رجب زاده خدارحم"</f>
        <v>رجب زاده خدارحم</v>
      </c>
      <c r="D863" s="1" t="str">
        <f>"شهرکرد- خ 12محرم جنوبي- پ 14"</f>
        <v>شهرکرد- خ 12محرم جنوبي- پ 14</v>
      </c>
      <c r="E863" s="1" t="s">
        <v>1574</v>
      </c>
    </row>
    <row r="864" spans="1:5">
      <c r="A864" s="1" t="s">
        <v>1441</v>
      </c>
      <c r="B864" s="1" t="str">
        <f>"ميبد"</f>
        <v>ميبد</v>
      </c>
      <c r="C864" s="1" t="str">
        <f>"دهقاني مهدي"</f>
        <v>دهقاني مهدي</v>
      </c>
      <c r="D864" s="1" t="str">
        <f>"ميبد- بلوار بسيج روبروي مصلي فروشگاه دهقاني"</f>
        <v>ميبد- بلوار بسيج روبروي مصلي فروشگاه دهقاني</v>
      </c>
      <c r="E864" s="1" t="s">
        <v>1574</v>
      </c>
    </row>
    <row r="865" spans="1:5">
      <c r="A865" s="1" t="s">
        <v>1441</v>
      </c>
      <c r="B865" s="1" t="str">
        <f>"اصفهان"</f>
        <v>اصفهان</v>
      </c>
      <c r="C865" s="1" t="str">
        <f>"يزداني کوروش"</f>
        <v>يزداني کوروش</v>
      </c>
      <c r="D865" s="1" t="str">
        <f>"خيابان جابرانصاري نرسيده به چهارراه رزمندگان- فروشگاه خانه"</f>
        <v>خيابان جابرانصاري نرسيده به چهارراه رزمندگان- فروشگاه خانه</v>
      </c>
      <c r="E865" s="1" t="s">
        <v>1574</v>
      </c>
    </row>
    <row r="866" spans="1:5">
      <c r="A866" s="1" t="s">
        <v>1441</v>
      </c>
      <c r="B866" s="1" t="str">
        <f>"درچه"</f>
        <v>درچه</v>
      </c>
      <c r="C866" s="1" t="str">
        <f>"كاشي رضا"</f>
        <v>كاشي رضا</v>
      </c>
      <c r="D866" s="1" t="str">
        <f>"اسلام ابادمقابل گلزار شهدافروشگاه نگين"</f>
        <v>اسلام ابادمقابل گلزار شهدافروشگاه نگين</v>
      </c>
      <c r="E866" s="1" t="s">
        <v>1574</v>
      </c>
    </row>
    <row r="867" spans="1:5">
      <c r="A867" s="1" t="s">
        <v>1441</v>
      </c>
      <c r="B867" s="1" t="str">
        <f>"باغبهادران"</f>
        <v>باغبهادران</v>
      </c>
      <c r="C867" s="1" t="str">
        <f>"كاوياني فرهاد"</f>
        <v>كاوياني فرهاد</v>
      </c>
      <c r="D867" s="1" t="str">
        <f>"خيابان شهرداري- فروشگاه كاوياني"</f>
        <v>خيابان شهرداري- فروشگاه كاوياني</v>
      </c>
      <c r="E867" s="1" t="s">
        <v>1574</v>
      </c>
    </row>
    <row r="868" spans="1:5">
      <c r="A868" s="1" t="s">
        <v>1441</v>
      </c>
      <c r="B868" s="1" t="str">
        <f>"زرين شهر"</f>
        <v>زرين شهر</v>
      </c>
      <c r="C868" s="1" t="str">
        <f>"حمامي محمد علي"</f>
        <v>حمامي محمد علي</v>
      </c>
      <c r="D868" s="1" t="str">
        <f>"زرين شهر- چمگردان- خ اباذرنرسيده به بانک صادرات"</f>
        <v>زرين شهر- چمگردان- خ اباذرنرسيده به بانک صادرات</v>
      </c>
      <c r="E868" s="1" t="s">
        <v>1574</v>
      </c>
    </row>
    <row r="869" spans="1:5">
      <c r="A869" s="1" t="s">
        <v>1441</v>
      </c>
      <c r="B869" s="1" t="str">
        <f>"زرين شهر"</f>
        <v>زرين شهر</v>
      </c>
      <c r="C869" s="1" t="str">
        <f>"بيگي فضل ا..."</f>
        <v>بيگي فضل ا...</v>
      </c>
      <c r="D869" s="1" t="str">
        <f>"زرين شهر- خ مطهري - پلاک 99- بورس کاشي سراميک سانترال"</f>
        <v>زرين شهر- خ مطهري - پلاک 99- بورس کاشي سراميک سانترال</v>
      </c>
      <c r="E869" s="1" t="s">
        <v>1574</v>
      </c>
    </row>
    <row r="870" spans="1:5">
      <c r="A870" s="1" t="s">
        <v>1441</v>
      </c>
      <c r="B870" s="1" t="str">
        <f>"تيران وكرون"</f>
        <v>تيران وكرون</v>
      </c>
      <c r="C870" s="1" t="str">
        <f>"اميني يداله"</f>
        <v>اميني يداله</v>
      </c>
      <c r="D870" s="1" t="str">
        <f>"تيران- روبروي بانک تجارت- تيران دکوراسيون"</f>
        <v>تيران- روبروي بانک تجارت- تيران دکوراسيون</v>
      </c>
      <c r="E870" s="1" t="s">
        <v>1574</v>
      </c>
    </row>
    <row r="871" spans="1:5">
      <c r="A871" s="1" t="s">
        <v>1441</v>
      </c>
      <c r="B871" s="1" t="str">
        <f>"نجف آباد"</f>
        <v>نجف آباد</v>
      </c>
      <c r="C871" s="1" t="str">
        <f>"هنرمند سعيد"</f>
        <v>هنرمند سعيد</v>
      </c>
      <c r="D871" s="1" t="str">
        <f>"خيابان شريعتي- جنب موسسه قوامين فروشگاه گلسار"</f>
        <v>خيابان شريعتي- جنب موسسه قوامين فروشگاه گلسار</v>
      </c>
      <c r="E871" s="1" t="s">
        <v>1574</v>
      </c>
    </row>
    <row r="872" spans="1:5">
      <c r="A872" s="1" t="s">
        <v>1441</v>
      </c>
      <c r="B872" s="1" t="str">
        <f>"نجف آباد"</f>
        <v>نجف آباد</v>
      </c>
      <c r="C872" s="1" t="str">
        <f>"حسناتي عباس"</f>
        <v>حسناتي عباس</v>
      </c>
      <c r="D872" s="1" t="str">
        <f>"نجف اباد- خ 15خرداد جنوبي- خ بوستان- چهارراه گلبهارغربي- فروشگاه اطمينان"</f>
        <v>نجف اباد- خ 15خرداد جنوبي- خ بوستان- چهارراه گلبهارغربي- فروشگاه اطمينان</v>
      </c>
      <c r="E872" s="1" t="s">
        <v>1574</v>
      </c>
    </row>
    <row r="873" spans="1:5">
      <c r="A873" s="1" t="s">
        <v>1441</v>
      </c>
      <c r="B873" s="1" t="str">
        <f>"خورزوق برخوار"</f>
        <v>خورزوق برخوار</v>
      </c>
      <c r="C873" s="1" t="str">
        <f>"عباسيان قاسم"</f>
        <v>عباسيان قاسم</v>
      </c>
      <c r="D873" s="1" t="str">
        <f>"خورزوق- خ شهيد رجايي- اول جانباز- كلينيك ساختماني عباسيان"</f>
        <v>خورزوق- خ شهيد رجايي- اول جانباز- كلينيك ساختماني عباسيان</v>
      </c>
      <c r="E873" s="1" t="s">
        <v>1574</v>
      </c>
    </row>
    <row r="874" spans="1:5">
      <c r="A874" s="1" t="s">
        <v>1441</v>
      </c>
      <c r="B874" s="1" t="str">
        <f>"شاهين شهر"</f>
        <v>شاهين شهر</v>
      </c>
      <c r="C874" s="1" t="str">
        <f>"معيني ناصر (شاهين شهر)"</f>
        <v>معيني ناصر (شاهين شهر)</v>
      </c>
      <c r="D874" s="1" t="str">
        <f>"خيابان عطار بين فرعي1و2"</f>
        <v>خيابان عطار بين فرعي1و2</v>
      </c>
      <c r="E874" s="1" t="s">
        <v>1574</v>
      </c>
    </row>
    <row r="875" spans="1:5">
      <c r="A875" s="1" t="s">
        <v>1441</v>
      </c>
      <c r="B875" s="1" t="str">
        <f>"دولت آباد"</f>
        <v>دولت آباد</v>
      </c>
      <c r="C875" s="1" t="str">
        <f>"زارعان رسول"</f>
        <v>زارعان رسول</v>
      </c>
      <c r="D875" s="1" t="str">
        <f>"خيابان طالقاني روبروي شهرداري فروشگاه كهن ديار"</f>
        <v>خيابان طالقاني روبروي شهرداري فروشگاه كهن ديار</v>
      </c>
      <c r="E875" s="1" t="s">
        <v>1574</v>
      </c>
    </row>
    <row r="876" spans="1:5">
      <c r="A876" s="1" t="s">
        <v>1441</v>
      </c>
      <c r="B876" s="1" t="str">
        <f>"دولت آباد"</f>
        <v>دولت آباد</v>
      </c>
      <c r="C876" s="1" t="str">
        <f>"محمدي اكبر"</f>
        <v>محمدي اكبر</v>
      </c>
      <c r="D876" s="1" t="str">
        <f>"ايستگاه  كشاورزي مقابل ايران خودرو لوله سبز فدك"</f>
        <v>ايستگاه  كشاورزي مقابل ايران خودرو لوله سبز فدك</v>
      </c>
      <c r="E876" s="1" t="s">
        <v>1574</v>
      </c>
    </row>
    <row r="877" spans="1:5">
      <c r="A877" s="1" t="s">
        <v>1441</v>
      </c>
      <c r="B877" s="1" t="str">
        <f t="shared" ref="B877:B898" si="12">"اصفهان"</f>
        <v>اصفهان</v>
      </c>
      <c r="C877" s="1" t="str">
        <f>"زارعي ابراهيم"</f>
        <v>زارعي ابراهيم</v>
      </c>
      <c r="D877" s="1" t="str">
        <f>"مشتاق سوم فلکه پينارت"</f>
        <v>مشتاق سوم فلکه پينارت</v>
      </c>
      <c r="E877" s="1" t="s">
        <v>1574</v>
      </c>
    </row>
    <row r="878" spans="1:5">
      <c r="A878" s="1" t="s">
        <v>1441</v>
      </c>
      <c r="B878" s="1" t="str">
        <f t="shared" si="12"/>
        <v>اصفهان</v>
      </c>
      <c r="C878" s="1" t="str">
        <f>"نصر اصفهاني محمد علي"</f>
        <v>نصر اصفهاني محمد علي</v>
      </c>
      <c r="D878" s="1" t="str">
        <f>"جاده شيراز جاده قلعه شور  انبار نصر"</f>
        <v>جاده شيراز جاده قلعه شور  انبار نصر</v>
      </c>
      <c r="E878" s="1" t="s">
        <v>1574</v>
      </c>
    </row>
    <row r="879" spans="1:5">
      <c r="A879" s="1" t="s">
        <v>1441</v>
      </c>
      <c r="B879" s="1" t="str">
        <f t="shared" si="12"/>
        <v>اصفهان</v>
      </c>
      <c r="C879" s="1" t="str">
        <f>"بازرگاني نيلي"</f>
        <v>بازرگاني نيلي</v>
      </c>
      <c r="D879" s="1" t="str">
        <f>"خيابان شريف واقفي- نبش کوچه 25-ساختمان اسمان نيلي"</f>
        <v>خيابان شريف واقفي- نبش کوچه 25-ساختمان اسمان نيلي</v>
      </c>
      <c r="E879" s="1" t="s">
        <v>1574</v>
      </c>
    </row>
    <row r="880" spans="1:5">
      <c r="A880" s="1" t="s">
        <v>1441</v>
      </c>
      <c r="B880" s="1" t="str">
        <f t="shared" si="12"/>
        <v>اصفهان</v>
      </c>
      <c r="C880" s="1" t="str">
        <f>"فروشگاه دانش"</f>
        <v>فروشگاه دانش</v>
      </c>
      <c r="D880" s="1" t="str">
        <f>"خيابان رباط اول- روبروي داروخانه شريف-"</f>
        <v>خيابان رباط اول- روبروي داروخانه شريف-</v>
      </c>
      <c r="E880" s="1" t="s">
        <v>1574</v>
      </c>
    </row>
    <row r="881" spans="1:5">
      <c r="A881" s="1" t="s">
        <v>1441</v>
      </c>
      <c r="B881" s="1" t="str">
        <f t="shared" si="12"/>
        <v>اصفهان</v>
      </c>
      <c r="C881" s="1" t="str">
        <f>"فروشگاه حسيني"</f>
        <v>فروشگاه حسيني</v>
      </c>
      <c r="D881" s="1" t="str">
        <f>"خيابان اتشگاه بالاتر از مخابرات- روبروي قرض الحسنه حجت"</f>
        <v>خيابان اتشگاه بالاتر از مخابرات- روبروي قرض الحسنه حجت</v>
      </c>
      <c r="E881" s="1" t="s">
        <v>1574</v>
      </c>
    </row>
    <row r="882" spans="1:5">
      <c r="A882" s="1" t="s">
        <v>1441</v>
      </c>
      <c r="B882" s="1" t="str">
        <f t="shared" si="12"/>
        <v>اصفهان</v>
      </c>
      <c r="C882" s="1" t="str">
        <f>"فروشگاه تخت جمشيد"</f>
        <v>فروشگاه تخت جمشيد</v>
      </c>
      <c r="D882" s="1" t="str">
        <f>"خيابان چمران- بعداز پمپ بنزين- قبل از کوچه خرداد-کوچه37"</f>
        <v>خيابان چمران- بعداز پمپ بنزين- قبل از کوچه خرداد-کوچه37</v>
      </c>
      <c r="E882" s="1" t="s">
        <v>1574</v>
      </c>
    </row>
    <row r="883" spans="1:5">
      <c r="A883" s="1" t="s">
        <v>1441</v>
      </c>
      <c r="B883" s="1" t="str">
        <f t="shared" si="12"/>
        <v>اصفهان</v>
      </c>
      <c r="C883" s="1" t="str">
        <f>"فشاركي قاسم"</f>
        <v>فشاركي قاسم</v>
      </c>
      <c r="D883" s="1" t="str">
        <f>"خيابان بزرگمهر- ابتدا هشت بهشت غربي-روبروي بانك مسكن گالري هود فشاركي"</f>
        <v>خيابان بزرگمهر- ابتدا هشت بهشت غربي-روبروي بانك مسكن گالري هود فشاركي</v>
      </c>
      <c r="E883" s="1" t="s">
        <v>1574</v>
      </c>
    </row>
    <row r="884" spans="1:5">
      <c r="A884" s="1" t="s">
        <v>1441</v>
      </c>
      <c r="B884" s="1" t="str">
        <f t="shared" si="12"/>
        <v>اصفهان</v>
      </c>
      <c r="C884" s="1" t="str">
        <f>"محوري محسن"</f>
        <v>محوري محسن</v>
      </c>
      <c r="D884" s="1" t="str">
        <f>"خيابان بعثت بعد چهارراه گازسمت چپ"</f>
        <v>خيابان بعثت بعد چهارراه گازسمت چپ</v>
      </c>
      <c r="E884" s="1" t="s">
        <v>1574</v>
      </c>
    </row>
    <row r="885" spans="1:5">
      <c r="A885" s="1" t="s">
        <v>1441</v>
      </c>
      <c r="B885" s="1" t="str">
        <f t="shared" si="12"/>
        <v>اصفهان</v>
      </c>
      <c r="C885" s="1" t="str">
        <f>"سيامكي هاشم"</f>
        <v>سيامكي هاشم</v>
      </c>
      <c r="D885" s="1" t="str">
        <f>"خيابان كاوه سه راه ملك شهراول بهارستان فروشگاه قائم"</f>
        <v>خيابان كاوه سه راه ملك شهراول بهارستان فروشگاه قائم</v>
      </c>
      <c r="E885" s="1" t="s">
        <v>1574</v>
      </c>
    </row>
    <row r="886" spans="1:5">
      <c r="A886" s="1" t="s">
        <v>1441</v>
      </c>
      <c r="B886" s="1" t="str">
        <f t="shared" si="12"/>
        <v>اصفهان</v>
      </c>
      <c r="C886" s="1" t="str">
        <f>"کچوئي محسن"</f>
        <v>کچوئي محسن</v>
      </c>
      <c r="D886" s="1" t="str">
        <f>"خيابان مفتح- نبش اذر مهر"</f>
        <v>خيابان مفتح- نبش اذر مهر</v>
      </c>
      <c r="E886" s="1" t="s">
        <v>1574</v>
      </c>
    </row>
    <row r="887" spans="1:5">
      <c r="A887" s="1" t="s">
        <v>1441</v>
      </c>
      <c r="B887" s="1" t="str">
        <f t="shared" si="12"/>
        <v>اصفهان</v>
      </c>
      <c r="C887" s="1" t="str">
        <f>"ميريان علي اصغر"</f>
        <v>ميريان علي اصغر</v>
      </c>
      <c r="D887" s="1" t="str">
        <f>"خيابان نشاط مقابل بيت الحسين- فروشگاه عارف"</f>
        <v>خيابان نشاط مقابل بيت الحسين- فروشگاه عارف</v>
      </c>
      <c r="E887" s="1" t="s">
        <v>1574</v>
      </c>
    </row>
    <row r="888" spans="1:5">
      <c r="A888" s="1" t="s">
        <v>1441</v>
      </c>
      <c r="B888" s="1" t="str">
        <f t="shared" si="12"/>
        <v>اصفهان</v>
      </c>
      <c r="C888" s="1" t="str">
        <f>"وزيري ناصر"</f>
        <v>وزيري ناصر</v>
      </c>
      <c r="D888" s="1" t="str">
        <f>"خيابان جي- ابر روبروي كوچه شهيد قريشي- جنب بانك كشاورزي"</f>
        <v>خيابان جي- ابر روبروي كوچه شهيد قريشي- جنب بانك كشاورزي</v>
      </c>
      <c r="E888" s="1" t="s">
        <v>1574</v>
      </c>
    </row>
    <row r="889" spans="1:5">
      <c r="A889" s="1" t="s">
        <v>1441</v>
      </c>
      <c r="B889" s="1" t="str">
        <f t="shared" si="12"/>
        <v>اصفهان</v>
      </c>
      <c r="C889" s="1" t="str">
        <f>"نشاط پور سعيد"</f>
        <v>نشاط پور سعيد</v>
      </c>
      <c r="D889" s="1" t="str">
        <f>"خيابان امام خميني- روبروي كارواش صدف- فروشگاه سرو"</f>
        <v>خيابان امام خميني- روبروي كارواش صدف- فروشگاه سرو</v>
      </c>
      <c r="E889" s="1" t="s">
        <v>1574</v>
      </c>
    </row>
    <row r="890" spans="1:5">
      <c r="A890" s="1" t="s">
        <v>1441</v>
      </c>
      <c r="B890" s="1" t="str">
        <f t="shared" si="12"/>
        <v>اصفهان</v>
      </c>
      <c r="C890" s="1" t="str">
        <f>"قائدي عليرضا"</f>
        <v>قائدي عليرضا</v>
      </c>
      <c r="D890" s="1" t="str">
        <f>"خيابان جي- ايستگاه سنگتراشي- روبروي ايرانخودرو"</f>
        <v>خيابان جي- ايستگاه سنگتراشي- روبروي ايرانخودرو</v>
      </c>
      <c r="E890" s="1" t="s">
        <v>1574</v>
      </c>
    </row>
    <row r="891" spans="1:5">
      <c r="A891" s="1" t="s">
        <v>1441</v>
      </c>
      <c r="B891" s="1" t="str">
        <f t="shared" si="12"/>
        <v>اصفهان</v>
      </c>
      <c r="C891" s="1" t="str">
        <f>"غلامي رسول"</f>
        <v>غلامي رسول</v>
      </c>
      <c r="D891" s="1" t="str">
        <f>"خيابان 24 متري اول- روبروي داروخانه اپادانا"</f>
        <v>خيابان 24 متري اول- روبروي داروخانه اپادانا</v>
      </c>
      <c r="E891" s="1" t="s">
        <v>1574</v>
      </c>
    </row>
    <row r="892" spans="1:5">
      <c r="A892" s="1" t="s">
        <v>1441</v>
      </c>
      <c r="B892" s="1" t="str">
        <f t="shared" si="12"/>
        <v>اصفهان</v>
      </c>
      <c r="C892" s="1" t="str">
        <f>"غلامي حسن/اصفهان"</f>
        <v>غلامي حسن/اصفهان</v>
      </c>
      <c r="D892" s="1" t="str">
        <f>"خيابان بزرگمهر- خ هشت بهشت غربي- حد فاصل سه راه ملك ونشاط"</f>
        <v>خيابان بزرگمهر- خ هشت بهشت غربي- حد فاصل سه راه ملك ونشاط</v>
      </c>
      <c r="E892" s="1" t="s">
        <v>1574</v>
      </c>
    </row>
    <row r="893" spans="1:5">
      <c r="A893" s="1" t="s">
        <v>1441</v>
      </c>
      <c r="B893" s="1" t="str">
        <f t="shared" si="12"/>
        <v>اصفهان</v>
      </c>
      <c r="C893" s="1" t="str">
        <f>"غفوري  عبدالغفور"</f>
        <v>غفوري  عبدالغفور</v>
      </c>
      <c r="D893" s="1" t="str">
        <f>"خيابان كاوه- جنب خروجي پمب بنزين محمدي-فروشگاه اصفهان"</f>
        <v>خيابان كاوه- جنب خروجي پمب بنزين محمدي-فروشگاه اصفهان</v>
      </c>
      <c r="E893" s="1" t="s">
        <v>1574</v>
      </c>
    </row>
    <row r="894" spans="1:5">
      <c r="A894" s="1" t="s">
        <v>1441</v>
      </c>
      <c r="B894" s="1" t="str">
        <f t="shared" si="12"/>
        <v>اصفهان</v>
      </c>
      <c r="C894" s="1" t="str">
        <f>"حبيبي علي"</f>
        <v>حبيبي علي</v>
      </c>
      <c r="D894" s="1" t="str">
        <f>"ابتداي خ بزرگمهر- خ مفتح  روبروي مسجد امام حسن"</f>
        <v>ابتداي خ بزرگمهر- خ مفتح  روبروي مسجد امام حسن</v>
      </c>
      <c r="E894" s="1" t="s">
        <v>1574</v>
      </c>
    </row>
    <row r="895" spans="1:5">
      <c r="A895" s="1" t="s">
        <v>1441</v>
      </c>
      <c r="B895" s="1" t="str">
        <f t="shared" si="12"/>
        <v>اصفهان</v>
      </c>
      <c r="C895" s="1" t="str">
        <f>"جوانمردي اصغر"</f>
        <v>جوانمردي اصغر</v>
      </c>
      <c r="D895" s="1" t="str">
        <f>"خ افسر- حدفاصل پل سرهنگ وصابوني- کلينيک جوانمردي"</f>
        <v>خ افسر- حدفاصل پل سرهنگ وصابوني- کلينيک جوانمردي</v>
      </c>
      <c r="E895" s="1" t="s">
        <v>1574</v>
      </c>
    </row>
    <row r="896" spans="1:5">
      <c r="A896" s="1" t="s">
        <v>1441</v>
      </c>
      <c r="B896" s="1" t="str">
        <f t="shared" si="12"/>
        <v>اصفهان</v>
      </c>
      <c r="C896" s="1" t="str">
        <f>"پاكروان عباس"</f>
        <v>پاكروان عباس</v>
      </c>
      <c r="D896" s="1" t="str">
        <f>"خ مدرس- روبروي پمپ بنزين فروشگاه پاکروان"</f>
        <v>خ مدرس- روبروي پمپ بنزين فروشگاه پاکروان</v>
      </c>
      <c r="E896" s="1" t="s">
        <v>1574</v>
      </c>
    </row>
    <row r="897" spans="1:5">
      <c r="A897" s="1" t="s">
        <v>1441</v>
      </c>
      <c r="B897" s="1" t="str">
        <f t="shared" si="12"/>
        <v>اصفهان</v>
      </c>
      <c r="C897" s="1" t="str">
        <f>"بيگي مصطفي"</f>
        <v>بيگي مصطفي</v>
      </c>
      <c r="D897" s="1" t="str">
        <f>"اتوبان چمران- خ استاد فلاطوري- نبش کوچه پامچال"</f>
        <v>اتوبان چمران- خ استاد فلاطوري- نبش کوچه پامچال</v>
      </c>
      <c r="E897" s="1" t="s">
        <v>1574</v>
      </c>
    </row>
    <row r="898" spans="1:5">
      <c r="A898" s="1" t="s">
        <v>1441</v>
      </c>
      <c r="B898" s="1" t="str">
        <f t="shared" si="12"/>
        <v>اصفهان</v>
      </c>
      <c r="C898" s="1" t="str">
        <f>"باغي رضا"</f>
        <v>باغي رضا</v>
      </c>
      <c r="D898" s="1" t="str">
        <f>"خ مدرس- بعداز چهارراه بابلدشت-فروشگاه نيوپايپ"</f>
        <v>خ مدرس- بعداز چهارراه بابلدشت-فروشگاه نيوپايپ</v>
      </c>
      <c r="E898" s="1" t="s">
        <v>1574</v>
      </c>
    </row>
    <row r="899" spans="1:5">
      <c r="A899" s="1" t="s">
        <v>1441</v>
      </c>
      <c r="B899" s="1" t="str">
        <f>"تهران"</f>
        <v>تهران</v>
      </c>
      <c r="C899" s="1" t="str">
        <f>"هفت الماس"</f>
        <v>هفت الماس</v>
      </c>
      <c r="D899" s="1" t="str">
        <f>"ميدان ونک خ ملاصدرا پ 65 ط دوم"</f>
        <v>ميدان ونک خ ملاصدرا پ 65 ط دوم</v>
      </c>
      <c r="E899" s="1" t="s">
        <v>1574</v>
      </c>
    </row>
    <row r="900" spans="1:5">
      <c r="A900" s="1" t="s">
        <v>1441</v>
      </c>
      <c r="B900" s="1" t="str">
        <f>"تهران"</f>
        <v>تهران</v>
      </c>
      <c r="C900" s="1" t="str">
        <f>"شرکت افق انرژي ايرانيان"</f>
        <v>شرکت افق انرژي ايرانيان</v>
      </c>
      <c r="D900" s="1" t="str">
        <f>"بلوار افريقا، نبش اسفنديار ، پلاک 2 واحد 13"</f>
        <v>بلوار افريقا، نبش اسفنديار ، پلاک 2 واحد 13</v>
      </c>
      <c r="E900" s="1" t="s">
        <v>1574</v>
      </c>
    </row>
    <row r="901" spans="1:5">
      <c r="A901" s="1" t="s">
        <v>1441</v>
      </c>
      <c r="B901" s="1" t="str">
        <f>"پرند"</f>
        <v>پرند</v>
      </c>
      <c r="C901" s="1" t="str">
        <f>"شركت كيسون"</f>
        <v>شركت كيسون</v>
      </c>
      <c r="D901" s="1" t="str">
        <f>"پرند فاز 6 شرکت کيسون"</f>
        <v>پرند فاز 6 شرکت کيسون</v>
      </c>
      <c r="E901" s="1" t="s">
        <v>1574</v>
      </c>
    </row>
    <row r="902" spans="1:5">
      <c r="A902" s="1" t="s">
        <v>1441</v>
      </c>
      <c r="B902" s="1" t="str">
        <f>"تهران"</f>
        <v>تهران</v>
      </c>
      <c r="C902" s="1" t="str">
        <f>"خلوصي ناصر"</f>
        <v>خلوصي ناصر</v>
      </c>
      <c r="D902" s="1" t="str">
        <f>"پيروزي- نبش کوچه آزادي- خيابان دوستاني"</f>
        <v>پيروزي- نبش کوچه آزادي- خيابان دوستاني</v>
      </c>
      <c r="E902" s="1" t="s">
        <v>1574</v>
      </c>
    </row>
    <row r="903" spans="1:5">
      <c r="A903" s="1" t="s">
        <v>1441</v>
      </c>
      <c r="B903" s="1" t="str">
        <f>"تهران"</f>
        <v>تهران</v>
      </c>
      <c r="C903" s="1" t="str">
        <f>"قراري سعيد"</f>
        <v>قراري سعيد</v>
      </c>
      <c r="D903" s="1" t="str">
        <f>"خيابان سعدي- خيابان خان آقا- بازارچه باغ- طبقه زير زمين"</f>
        <v>خيابان سعدي- خيابان خان آقا- بازارچه باغ- طبقه زير زمين</v>
      </c>
      <c r="E903" s="1" t="s">
        <v>1574</v>
      </c>
    </row>
    <row r="904" spans="1:5">
      <c r="A904" s="1" t="s">
        <v>1441</v>
      </c>
      <c r="B904" s="1" t="str">
        <f>"تهران"</f>
        <v>تهران</v>
      </c>
      <c r="C904" s="1" t="str">
        <f>"خموشي جواد"</f>
        <v>خموشي جواد</v>
      </c>
      <c r="D904" s="1" t="str">
        <f>"خيابان دماوند - خيابان شهريار - کوچه افشار - پلاک 8"</f>
        <v>خيابان دماوند - خيابان شهريار - کوچه افشار - پلاک 8</v>
      </c>
      <c r="E904" s="1" t="s">
        <v>1574</v>
      </c>
    </row>
    <row r="905" spans="1:5">
      <c r="A905" s="1" t="s">
        <v>1441</v>
      </c>
      <c r="B905" s="1" t="str">
        <f>"تهران"</f>
        <v>تهران</v>
      </c>
      <c r="C905" s="1" t="str">
        <f>"حيدري سعيد"</f>
        <v>حيدري سعيد</v>
      </c>
      <c r="D905" s="1" t="str">
        <f>"قصرالدشت- نرسيده به مرتضوي پلاک104"</f>
        <v>قصرالدشت- نرسيده به مرتضوي پلاک104</v>
      </c>
      <c r="E905" s="1" t="s">
        <v>1574</v>
      </c>
    </row>
    <row r="906" spans="1:5">
      <c r="A906" s="1" t="s">
        <v>1441</v>
      </c>
      <c r="B906" s="1" t="str">
        <f>"اصفهان"</f>
        <v>اصفهان</v>
      </c>
      <c r="C906" s="1" t="str">
        <f>"آقابابايي رضا"</f>
        <v>آقابابايي رضا</v>
      </c>
      <c r="D906" s="1" t="str">
        <f>"مبارکه- خيابان سلمان- جنب چهارراه زرين شهر"</f>
        <v>مبارکه- خيابان سلمان- جنب چهارراه زرين شهر</v>
      </c>
      <c r="E906" s="1" t="s">
        <v>1574</v>
      </c>
    </row>
    <row r="907" spans="1:5">
      <c r="A907" s="1" t="s">
        <v>1441</v>
      </c>
      <c r="B907" s="1" t="str">
        <f>"تهران"</f>
        <v>تهران</v>
      </c>
      <c r="C907" s="1" t="str">
        <f>"مرادي جواد"</f>
        <v>مرادي جواد</v>
      </c>
      <c r="D907" s="1" t="str">
        <f>"يادگار امام- خ دامپزشکي- تقاطع بلوار استاد معين پلاک1116و1118"</f>
        <v>يادگار امام- خ دامپزشکي- تقاطع بلوار استاد معين پلاک1116و1118</v>
      </c>
      <c r="E907" s="1" t="s">
        <v>1574</v>
      </c>
    </row>
    <row r="908" spans="1:5">
      <c r="A908" s="1" t="s">
        <v>1441</v>
      </c>
      <c r="B908" s="1" t="str">
        <f>"رشت"</f>
        <v>رشت</v>
      </c>
      <c r="C908" s="1" t="str">
        <f>"يکتايي لاهيجي مستقيم محمودرضا"</f>
        <v>يکتايي لاهيجي مستقيم محمودرضا</v>
      </c>
      <c r="D908" s="1" t="str">
        <f>"بلوار لاکان بالاتر از شرکت گاز گروه بازرگاني يکتايي"</f>
        <v>بلوار لاکان بالاتر از شرکت گاز گروه بازرگاني يکتايي</v>
      </c>
      <c r="E908" s="1" t="s">
        <v>1574</v>
      </c>
    </row>
    <row r="909" spans="1:5">
      <c r="A909" s="1" t="s">
        <v>1441</v>
      </c>
      <c r="B909" s="1" t="str">
        <f>"ورامين"</f>
        <v>ورامين</v>
      </c>
      <c r="C909" s="1" t="str">
        <f>"طرآبادي امير"</f>
        <v>طرآبادي امير</v>
      </c>
      <c r="D909" s="1" t="str">
        <f>"خيابان شهيد بهشتي- نرسيده به مسجد جامع- گرمابه اسلامي سابق"</f>
        <v>خيابان شهيد بهشتي- نرسيده به مسجد جامع- گرمابه اسلامي سابق</v>
      </c>
      <c r="E909" s="1" t="s">
        <v>1574</v>
      </c>
    </row>
    <row r="910" spans="1:5">
      <c r="A910" s="1" t="s">
        <v>1441</v>
      </c>
      <c r="B910" s="1" t="str">
        <f>"تهران"</f>
        <v>تهران</v>
      </c>
      <c r="C910" s="1" t="str">
        <f>"امرايي فرشيد"</f>
        <v>امرايي فرشيد</v>
      </c>
      <c r="D910" s="1" t="str">
        <f>"خيابان مطهري- بعد از ايستگاه مفتح- خيابان مهرداد- پلاک 15 فروشگاه لوکس"</f>
        <v>خيابان مطهري- بعد از ايستگاه مفتح- خيابان مهرداد- پلاک 15 فروشگاه لوکس</v>
      </c>
      <c r="E910" s="1" t="s">
        <v>1574</v>
      </c>
    </row>
    <row r="911" spans="1:5">
      <c r="A911" s="1" t="s">
        <v>1441</v>
      </c>
      <c r="B911" s="1" t="str">
        <f>"شهركرد"</f>
        <v>شهركرد</v>
      </c>
      <c r="C911" s="1" t="str">
        <f>"حيدري مهراب"</f>
        <v>حيدري مهراب</v>
      </c>
      <c r="D911" s="1" t="str">
        <f>"بلوار آزادي بين فلکه معلم و چهارمحال"</f>
        <v>بلوار آزادي بين فلکه معلم و چهارمحال</v>
      </c>
      <c r="E911" s="1" t="s">
        <v>1574</v>
      </c>
    </row>
    <row r="912" spans="1:5">
      <c r="A912" s="1" t="s">
        <v>1441</v>
      </c>
      <c r="B912" s="1" t="str">
        <f>"نجف آباد"</f>
        <v>نجف آباد</v>
      </c>
      <c r="C912" s="1" t="str">
        <f>"سرمدي عليرضا"</f>
        <v>سرمدي عليرضا</v>
      </c>
      <c r="D912" s="1" t="str">
        <f>"خيابان شريعتي- روبروي خيابان بهمن- جنب بانک مهر اقتصاد"</f>
        <v>خيابان شريعتي- روبروي خيابان بهمن- جنب بانک مهر اقتصاد</v>
      </c>
      <c r="E912" s="1" t="s">
        <v>1574</v>
      </c>
    </row>
    <row r="913" spans="1:5">
      <c r="A913" s="1" t="s">
        <v>1441</v>
      </c>
      <c r="B913" s="1" t="str">
        <f>"تهران"</f>
        <v>تهران</v>
      </c>
      <c r="C913" s="1" t="str">
        <f>"آقاجاني فشارکي اميرحسين"</f>
        <v>آقاجاني فشارکي اميرحسين</v>
      </c>
      <c r="D913" s="1" t="str">
        <f>"ميدان شهدا- خيابان شهيد کفايي اماني پلاک21"</f>
        <v>ميدان شهدا- خيابان شهيد کفايي اماني پلاک21</v>
      </c>
      <c r="E913" s="1" t="s">
        <v>1574</v>
      </c>
    </row>
    <row r="914" spans="1:5">
      <c r="A914" s="1" t="s">
        <v>1441</v>
      </c>
      <c r="B914" s="1" t="str">
        <f>"تهران"</f>
        <v>تهران</v>
      </c>
      <c r="C914" s="1" t="str">
        <f>"محقق پور ليدا"</f>
        <v>محقق پور ليدا</v>
      </c>
      <c r="D914" s="1" t="str">
        <f>"دوست خانم طالبي"</f>
        <v>دوست خانم طالبي</v>
      </c>
      <c r="E914" s="1" t="s">
        <v>1574</v>
      </c>
    </row>
    <row r="915" spans="1:5">
      <c r="A915" s="1" t="s">
        <v>1441</v>
      </c>
      <c r="B915" s="1" t="str">
        <f>"تهران"</f>
        <v>تهران</v>
      </c>
      <c r="C915" s="1" t="str">
        <f>"مقتدرعصرنو آيدين"</f>
        <v>مقتدرعصرنو آيدين</v>
      </c>
      <c r="D915" s="1" t="str">
        <f>"بازار آهن-شادآباد-45متري بهارشمالي-بلوک 28/1-جنب بانک دي-پلاک9"</f>
        <v>بازار آهن-شادآباد-45متري بهارشمالي-بلوک 28/1-جنب بانک دي-پلاک9</v>
      </c>
      <c r="E915" s="1" t="s">
        <v>1574</v>
      </c>
    </row>
    <row r="916" spans="1:5">
      <c r="A916" s="1" t="s">
        <v>1441</v>
      </c>
      <c r="B916" s="1" t="str">
        <f>"دهگلان"</f>
        <v>دهگلان</v>
      </c>
      <c r="C916" s="1" t="str">
        <f>"زندي آرمان"</f>
        <v>زندي آرمان</v>
      </c>
      <c r="D916" s="1" t="str">
        <f>"بلوار امام-بالاتر از بانک توسعه و تعاون-فروشگاه پيمان"</f>
        <v>بلوار امام-بالاتر از بانک توسعه و تعاون-فروشگاه پيمان</v>
      </c>
      <c r="E916" s="1" t="s">
        <v>1574</v>
      </c>
    </row>
    <row r="917" spans="1:5">
      <c r="A917" s="1" t="s">
        <v>1441</v>
      </c>
      <c r="B917" s="1" t="str">
        <f>"تهران"</f>
        <v>تهران</v>
      </c>
      <c r="C917" s="1" t="str">
        <f>"موسوي سيدقدير"</f>
        <v>موسوي سيدقدير</v>
      </c>
      <c r="D917" s="1" t="str">
        <f>"فلکه دوم صادقيه- آيت الله کاشاني- روبروس شهرداري منطقه5- جنب مسجد امام علي پلاک404"</f>
        <v>فلکه دوم صادقيه- آيت الله کاشاني- روبروس شهرداري منطقه5- جنب مسجد امام علي پلاک404</v>
      </c>
      <c r="E917" s="1" t="s">
        <v>1574</v>
      </c>
    </row>
    <row r="918" spans="1:5">
      <c r="A918" s="1" t="s">
        <v>1441</v>
      </c>
      <c r="B918" s="1" t="str">
        <f>"شهريار"</f>
        <v>شهريار</v>
      </c>
      <c r="C918" s="1" t="str">
        <f>"ممي زاده ذوالفقار"</f>
        <v>ممي زاده ذوالفقار</v>
      </c>
      <c r="D918" s="1" t="str">
        <f>"فاز يک انديشه - خيابان دوازدهم غربي - پلاک156 - فروشگاه تخت جمشيد"</f>
        <v>فاز يک انديشه - خيابان دوازدهم غربي - پلاک156 - فروشگاه تخت جمشيد</v>
      </c>
      <c r="E918" s="1" t="s">
        <v>1574</v>
      </c>
    </row>
    <row r="919" spans="1:5">
      <c r="A919" s="1" t="s">
        <v>1441</v>
      </c>
      <c r="B919" s="1" t="str">
        <f>"تهران"</f>
        <v>تهران</v>
      </c>
      <c r="C919" s="1" t="str">
        <f>"زارعي اول سيد رضا-سيد حسين"</f>
        <v>زارعي اول سيد رضا-سيد حسين</v>
      </c>
      <c r="D919" s="1" t="str">
        <f>"بلوار کوهسار - نبش کوچه توحيد - فروشگاه استيل البرز"</f>
        <v>بلوار کوهسار - نبش کوچه توحيد - فروشگاه استيل البرز</v>
      </c>
      <c r="E919" s="1" t="s">
        <v>1574</v>
      </c>
    </row>
    <row r="920" spans="1:5">
      <c r="A920" s="1" t="s">
        <v>1441</v>
      </c>
      <c r="B920" s="1" t="str">
        <f>"قزوين"</f>
        <v>قزوين</v>
      </c>
      <c r="C920" s="1" t="str">
        <f>"ضرابي محمد"</f>
        <v>ضرابي محمد</v>
      </c>
      <c r="D920" s="1" t="str">
        <f>"حد فاصل ميدان ميرعماد - چهارراه عمران - جنب انجمن انبوه سازان استان قزوين"</f>
        <v>حد فاصل ميدان ميرعماد - چهارراه عمران - جنب انجمن انبوه سازان استان قزوين</v>
      </c>
      <c r="E920" s="1" t="s">
        <v>1574</v>
      </c>
    </row>
    <row r="921" spans="1:5">
      <c r="A921" s="1" t="s">
        <v>1441</v>
      </c>
      <c r="B921" s="1" t="str">
        <f>"تهران"</f>
        <v>تهران</v>
      </c>
      <c r="C921" s="1" t="str">
        <f>"مطلبي فشارکي مهدي"</f>
        <v>مطلبي فشارکي مهدي</v>
      </c>
      <c r="D921" s="1" t="str">
        <f>"ميدان شهدا - خ کفايي اماني - پ 21"</f>
        <v>ميدان شهدا - خ کفايي اماني - پ 21</v>
      </c>
      <c r="E921" s="1" t="s">
        <v>1574</v>
      </c>
    </row>
    <row r="922" spans="1:5">
      <c r="A922" s="1" t="s">
        <v>1441</v>
      </c>
      <c r="B922" s="1" t="str">
        <f>"ورامين"</f>
        <v>ورامين</v>
      </c>
      <c r="C922" s="1" t="str">
        <f>"بوربور احمد"</f>
        <v>بوربور احمد</v>
      </c>
      <c r="D922" s="1" t="str">
        <f>"پيشوا - خ شهيد با هنر - فروشگاه بوربور"</f>
        <v>پيشوا - خ شهيد با هنر - فروشگاه بوربور</v>
      </c>
      <c r="E922" s="1" t="s">
        <v>1574</v>
      </c>
    </row>
    <row r="923" spans="1:5">
      <c r="A923" s="1" t="s">
        <v>1441</v>
      </c>
      <c r="B923" s="1" t="str">
        <f>"بانه"</f>
        <v>بانه</v>
      </c>
      <c r="C923" s="1" t="str">
        <f>"فاتحي کيوان"</f>
        <v>فاتحي کيوان</v>
      </c>
      <c r="D923" s="1" t="str">
        <f>"خ کمربندي(خ مطهري)،روبروي دبيرستان کارودانش پسران"</f>
        <v>خ کمربندي(خ مطهري)،روبروي دبيرستان کارودانش پسران</v>
      </c>
      <c r="E923" s="1" t="s">
        <v>1574</v>
      </c>
    </row>
    <row r="924" spans="1:5">
      <c r="A924" s="1" t="s">
        <v>1441</v>
      </c>
      <c r="B924" s="1" t="str">
        <f>"گيلان"</f>
        <v>گيلان</v>
      </c>
      <c r="C924" s="1" t="str">
        <f>"صابر مهرداد"</f>
        <v>صابر مهرداد</v>
      </c>
      <c r="D924" s="1" t="str">
        <f>"گيلان-لاهيجان-خ فردوسي-بعد از ساختمان هندسي"</f>
        <v>گيلان-لاهيجان-خ فردوسي-بعد از ساختمان هندسي</v>
      </c>
      <c r="E924" s="1" t="s">
        <v>1574</v>
      </c>
    </row>
    <row r="925" spans="1:5">
      <c r="A925" s="1" t="s">
        <v>1441</v>
      </c>
      <c r="B925" s="1" t="str">
        <f>"تهران"</f>
        <v>تهران</v>
      </c>
      <c r="C925" s="1" t="str">
        <f>"قاسمي سپرو جواد"</f>
        <v>قاسمي سپرو جواد</v>
      </c>
      <c r="D925" s="1" t="str">
        <f>"بلوار ابوذر-پل پنجم-خ ده حقي-پلاک 190"</f>
        <v>بلوار ابوذر-پل پنجم-خ ده حقي-پلاک 190</v>
      </c>
      <c r="E925" s="1" t="s">
        <v>1574</v>
      </c>
    </row>
    <row r="926" spans="1:5">
      <c r="A926" s="1" t="s">
        <v>1441</v>
      </c>
      <c r="B926" s="1" t="str">
        <f>"تهران"</f>
        <v>تهران</v>
      </c>
      <c r="C926" s="1" t="str">
        <f>"ابراهيمي نصرت اله"</f>
        <v>ابراهيمي نصرت اله</v>
      </c>
      <c r="D926" s="1" t="str">
        <f>"شهرک غرب ، بلوار فرحزادي ، بعد از پل نيايش ، گلستان سوم ، پلاک 96"</f>
        <v>شهرک غرب ، بلوار فرحزادي ، بعد از پل نيايش ، گلستان سوم ، پلاک 96</v>
      </c>
      <c r="E926" s="1" t="s">
        <v>1574</v>
      </c>
    </row>
    <row r="927" spans="1:5">
      <c r="A927" s="1" t="s">
        <v>1441</v>
      </c>
      <c r="B927" s="1" t="str">
        <f>"دماوند"</f>
        <v>دماوند</v>
      </c>
      <c r="C927" s="1" t="str">
        <f>"(گيلاوند) يراق کابين"</f>
        <v>(گيلاوند) يراق کابين</v>
      </c>
      <c r="D927" s="1" t="str">
        <f>"گيلاوند ، 500 متر بعد از پليس راه ، روبه روي ، بلوار شهيد رجايي فروشگاه يراق کابين"</f>
        <v>گيلاوند ، 500 متر بعد از پليس راه ، روبه روي ، بلوار شهيد رجايي فروشگاه يراق کابين</v>
      </c>
      <c r="E927" s="1" t="s">
        <v>1574</v>
      </c>
    </row>
    <row r="928" spans="1:5">
      <c r="A928" s="1" t="s">
        <v>1441</v>
      </c>
      <c r="B928" s="1" t="str">
        <f>"تهران"</f>
        <v>تهران</v>
      </c>
      <c r="C928" s="1" t="str">
        <f>"قاسمي سپرو حامد"</f>
        <v>قاسمي سپرو حامد</v>
      </c>
      <c r="D928" s="1" t="str">
        <f>"خيابان دماوند، ايستگاه پل، روبه روي پمپ بنزين، کلينيک ساختماني برادران نائيني"</f>
        <v>خيابان دماوند، ايستگاه پل، روبه روي پمپ بنزين، کلينيک ساختماني برادران نائيني</v>
      </c>
      <c r="E928" s="1" t="s">
        <v>1574</v>
      </c>
    </row>
    <row r="929" spans="1:5">
      <c r="A929" s="1" t="s">
        <v>1441</v>
      </c>
      <c r="B929" s="1" t="str">
        <f>"تهران"</f>
        <v>تهران</v>
      </c>
      <c r="C929" s="1" t="str">
        <f>"الهي ابراهيم"</f>
        <v>الهي ابراهيم</v>
      </c>
      <c r="D929" s="1" t="str">
        <f>"ونک ، ملاصدرا، شيراز جنوبي ، خيابان سامان ، پلاک 15"</f>
        <v>ونک ، ملاصدرا، شيراز جنوبي ، خيابان سامان ، پلاک 15</v>
      </c>
      <c r="E929" s="1" t="s">
        <v>1574</v>
      </c>
    </row>
    <row r="930" spans="1:5">
      <c r="A930" s="1" t="s">
        <v>1441</v>
      </c>
      <c r="B930" s="1" t="str">
        <f>"بندرعباس"</f>
        <v>بندرعباس</v>
      </c>
      <c r="C930" s="1" t="str">
        <f>"پاکدامن محمدامين"</f>
        <v>پاکدامن محمدامين</v>
      </c>
      <c r="D930" s="1" t="str">
        <f>"خيابان شهيد جمال اسد آبادي، نرسيده به چهارراه فاطميه، مجتمع زيگورات"</f>
        <v>خيابان شهيد جمال اسد آبادي، نرسيده به چهارراه فاطميه، مجتمع زيگورات</v>
      </c>
      <c r="E930" s="1" t="s">
        <v>1574</v>
      </c>
    </row>
    <row r="931" spans="1:5">
      <c r="A931" s="1" t="s">
        <v>1441</v>
      </c>
      <c r="B931" s="1" t="str">
        <f>"بانه"</f>
        <v>بانه</v>
      </c>
      <c r="C931" s="1" t="str">
        <f>"عبدالهي کمال"</f>
        <v>عبدالهي کمال</v>
      </c>
      <c r="D931" s="1" t="str">
        <f>"بلوار آزادي ، روبه روي گرمابه ملودي ، کلينيک ساختماني عبدالهي"</f>
        <v>بلوار آزادي ، روبه روي گرمابه ملودي ، کلينيک ساختماني عبدالهي</v>
      </c>
      <c r="E931" s="1" t="s">
        <v>1574</v>
      </c>
    </row>
    <row r="932" spans="1:5">
      <c r="A932" s="1" t="s">
        <v>1441</v>
      </c>
      <c r="B932" s="1" t="str">
        <f>"اروميه"</f>
        <v>اروميه</v>
      </c>
      <c r="C932" s="1" t="str">
        <f>"داورپناه هژير"</f>
        <v>داورپناه هژير</v>
      </c>
      <c r="D932" s="1" t="str">
        <f>"خيابان رودکي ، ابتداي صدمتري تيموري ، پلاک 8"</f>
        <v>خيابان رودکي ، ابتداي صدمتري تيموري ، پلاک 8</v>
      </c>
      <c r="E932" s="1" t="s">
        <v>1574</v>
      </c>
    </row>
    <row r="933" spans="1:5">
      <c r="A933" s="1" t="s">
        <v>1441</v>
      </c>
      <c r="B933" s="1" t="str">
        <f>"تهران"</f>
        <v>تهران</v>
      </c>
      <c r="C933" s="1" t="str">
        <f>"رضا نژاد عليرضا(فروشگاه آريا)"</f>
        <v>رضا نژاد عليرضا(فروشگاه آريا)</v>
      </c>
      <c r="D933" s="1" t="str">
        <f>"چهاردانگه ، خيابان اصلي جعفرآباد ، نبش خيابان 23 ، پلاک 187"</f>
        <v>چهاردانگه ، خيابان اصلي جعفرآباد ، نبش خيابان 23 ، پلاک 187</v>
      </c>
      <c r="E933" s="1" t="s">
        <v>1574</v>
      </c>
    </row>
    <row r="934" spans="1:5">
      <c r="A934" s="1" t="s">
        <v>1441</v>
      </c>
      <c r="B934" s="1" t="str">
        <f>"کرمانشاه"</f>
        <v>کرمانشاه</v>
      </c>
      <c r="C934" s="1" t="str">
        <f>"مصطفايي مسعود"</f>
        <v>مصطفايي مسعود</v>
      </c>
      <c r="D934" s="1" t="str">
        <f>"خيابان کوهساري- بالاتر از گاراژ کوهساري- بازرگاني مصطفايي"</f>
        <v>خيابان کوهساري- بالاتر از گاراژ کوهساري- بازرگاني مصطفايي</v>
      </c>
      <c r="E934" s="1" t="s">
        <v>1574</v>
      </c>
    </row>
    <row r="935" spans="1:5">
      <c r="A935" s="1" t="s">
        <v>1441</v>
      </c>
      <c r="B935" s="1" t="str">
        <f>"بندرعباس"</f>
        <v>بندرعباس</v>
      </c>
      <c r="C935" s="1" t="str">
        <f>"هاشمي پور حميدرضا"</f>
        <v>هاشمي پور حميدرضا</v>
      </c>
      <c r="D935" s="1" t="str">
        <f>"بلوار امام حسين-جنب پمپ بنزين"</f>
        <v>بلوار امام حسين-جنب پمپ بنزين</v>
      </c>
      <c r="E935" s="1" t="s">
        <v>1574</v>
      </c>
    </row>
    <row r="936" spans="1:5">
      <c r="A936" s="1" t="s">
        <v>1441</v>
      </c>
      <c r="B936" s="1" t="str">
        <f>"بانه"</f>
        <v>بانه</v>
      </c>
      <c r="C936" s="1" t="str">
        <f>"توکلي عادل(محمد اميني)"</f>
        <v>توکلي عادل(محمد اميني)</v>
      </c>
      <c r="D936" s="1" t="str">
        <f>"خيابان ساحلي- روبروي پمپ بنزين توکلي"</f>
        <v>خيابان ساحلي- روبروي پمپ بنزين توکلي</v>
      </c>
      <c r="E936" s="1" t="s">
        <v>1574</v>
      </c>
    </row>
    <row r="937" spans="1:5">
      <c r="A937" s="1" t="s">
        <v>1441</v>
      </c>
      <c r="B937" s="1" t="str">
        <f>"تهران"</f>
        <v>تهران</v>
      </c>
      <c r="C937" s="1" t="str">
        <f>"حيدري حسين(فروشگاه المهدي)"</f>
        <v>حيدري حسين(فروشگاه المهدي)</v>
      </c>
      <c r="D937" s="1" t="str">
        <f>"پيروزي-خيابان شاهآبادي-نبش کوچه پيرهادي-پلاک 156"</f>
        <v>پيروزي-خيابان شاهآبادي-نبش کوچه پيرهادي-پلاک 156</v>
      </c>
      <c r="E937" s="1" t="s">
        <v>1574</v>
      </c>
    </row>
    <row r="938" spans="1:5">
      <c r="A938" s="1" t="s">
        <v>1441</v>
      </c>
      <c r="B938" s="1" t="str">
        <f>"زابل"</f>
        <v>زابل</v>
      </c>
      <c r="C938" s="1" t="str">
        <f>"قاسمي جواد"</f>
        <v>قاسمي جواد</v>
      </c>
      <c r="D938" s="1" t="str">
        <f>"خيابان مطهري-روبروي مطهري 28-ابزارآلات رامشار"</f>
        <v>خيابان مطهري-روبروي مطهري 28-ابزارآلات رامشار</v>
      </c>
      <c r="E938" s="1" t="s">
        <v>1574</v>
      </c>
    </row>
    <row r="939" spans="1:5">
      <c r="A939" s="1" t="s">
        <v>1441</v>
      </c>
      <c r="B939" s="1" t="str">
        <f>"بجنورد"</f>
        <v>بجنورد</v>
      </c>
      <c r="C939" s="1" t="str">
        <f>"لنگري(تاپ کابين بجنورد) مسعود"</f>
        <v>لنگري(تاپ کابين بجنورد) مسعود</v>
      </c>
      <c r="D939" s="1" t="str">
        <f>"چهارراه باسکول- جنب بانک رفاه- کابين تاپ"</f>
        <v>چهارراه باسکول- جنب بانک رفاه- کابين تاپ</v>
      </c>
      <c r="E939" s="1" t="s">
        <v>1574</v>
      </c>
    </row>
    <row r="940" spans="1:5">
      <c r="A940" s="1" t="s">
        <v>1441</v>
      </c>
      <c r="B940" s="1" t="str">
        <f>"قزوين"</f>
        <v>قزوين</v>
      </c>
      <c r="C940" s="1" t="str">
        <f>"مهدي زاده فريدون(بازرگاني برليان/قزوين)"</f>
        <v>مهدي زاده فريدون(بازرگاني برليان/قزوين)</v>
      </c>
      <c r="D940" s="1" t="str">
        <f>"خيابان منتظري جديد- پلاک 750"</f>
        <v>خيابان منتظري جديد- پلاک 750</v>
      </c>
      <c r="E940" s="1" t="s">
        <v>1574</v>
      </c>
    </row>
    <row r="941" spans="1:5">
      <c r="A941" s="1" t="s">
        <v>1441</v>
      </c>
      <c r="B941" s="1" t="str">
        <f>"خرمدره"</f>
        <v>خرمدره</v>
      </c>
      <c r="C941" s="1" t="str">
        <f>"مهدي خانلو عليرضا"</f>
        <v>مهدي خانلو عليرضا</v>
      </c>
      <c r="D941" s="1" t="str">
        <f>"خيابان سيد جمال الدين- بالاتر از ميدان امام حسين(ع)- تجهيزات آشپزخانه سورنا"</f>
        <v>خيابان سيد جمال الدين- بالاتر از ميدان امام حسين(ع)- تجهيزات آشپزخانه سورنا</v>
      </c>
      <c r="E941" s="1" t="s">
        <v>1574</v>
      </c>
    </row>
    <row r="942" spans="1:5">
      <c r="A942" s="1" t="s">
        <v>1441</v>
      </c>
      <c r="B942" s="1" t="str">
        <f>"تهران"</f>
        <v>تهران</v>
      </c>
      <c r="C942" s="1" t="str">
        <f>"حسن زاده علي(امين حضور)"</f>
        <v>حسن زاده علي(امين حضور)</v>
      </c>
      <c r="D942" s="1" t="str">
        <f>"خيابان ري- بالاتر از حسينيه همداني ها"</f>
        <v>خيابان ري- بالاتر از حسينيه همداني ها</v>
      </c>
      <c r="E942" s="1" t="s">
        <v>1574</v>
      </c>
    </row>
    <row r="943" spans="1:5">
      <c r="A943" s="1" t="s">
        <v>1441</v>
      </c>
      <c r="B943" s="1" t="str">
        <f>"گلستان"</f>
        <v>گلستان</v>
      </c>
      <c r="C943" s="1" t="str">
        <f>"عليزاده صالح"</f>
        <v>عليزاده صالح</v>
      </c>
      <c r="D943" s="1" t="str">
        <f>"کلاکه- خيابان انقلاب- جنب لوازم توکار آشپزخانه- فروشگاه کاشي سراميک برادران عليزاده"</f>
        <v>کلاکه- خيابان انقلاب- جنب لوازم توکار آشپزخانه- فروشگاه کاشي سراميک برادران عليزاده</v>
      </c>
      <c r="E943" s="1" t="s">
        <v>1574</v>
      </c>
    </row>
    <row r="944" spans="1:5">
      <c r="A944" s="1" t="s">
        <v>1441</v>
      </c>
      <c r="B944" s="1" t="str">
        <f>"قزوين"</f>
        <v>قزوين</v>
      </c>
      <c r="C944" s="1" t="str">
        <f>"پرهيزگاري مرتضي(فروشگاه پاسارگاد قزوين)"</f>
        <v>پرهيزگاري مرتضي(فروشگاه پاسارگاد قزوين)</v>
      </c>
      <c r="D944" s="1" t="str">
        <f>"ميدان شهيد بابايي- داخل پارکينگ طهماسبي- فروشگاه پاسارگاد"</f>
        <v>ميدان شهيد بابايي- داخل پارکينگ طهماسبي- فروشگاه پاسارگاد</v>
      </c>
      <c r="E944" s="1" t="s">
        <v>1574</v>
      </c>
    </row>
    <row r="945" spans="1:5">
      <c r="A945" s="1" t="s">
        <v>1441</v>
      </c>
      <c r="B945" s="1" t="str">
        <f>"چابهار"</f>
        <v>چابهار</v>
      </c>
      <c r="C945" s="1" t="str">
        <f>"کاظمي مجيد"</f>
        <v>کاظمي مجيد</v>
      </c>
      <c r="D945" s="1" t="str">
        <f>"بلوار امام خميني- نرسيده به بانک تجارت مرکزي"</f>
        <v>بلوار امام خميني- نرسيده به بانک تجارت مرکزي</v>
      </c>
      <c r="E945" s="1" t="s">
        <v>1574</v>
      </c>
    </row>
    <row r="946" spans="1:5">
      <c r="A946" s="1" t="s">
        <v>1441</v>
      </c>
      <c r="B946" s="1" t="str">
        <f>"خمين"</f>
        <v>خمين</v>
      </c>
      <c r="C946" s="1" t="str">
        <f>"نجفي محمد"</f>
        <v>نجفي محمد</v>
      </c>
      <c r="D946" s="1" t="str">
        <f>"ضلع شرقي ميدان مدرس- جنب بانک ملي"</f>
        <v>ضلع شرقي ميدان مدرس- جنب بانک ملي</v>
      </c>
      <c r="E946" s="1" t="s">
        <v>1574</v>
      </c>
    </row>
    <row r="947" spans="1:5">
      <c r="A947" s="1" t="s">
        <v>1441</v>
      </c>
      <c r="B947" s="1" t="str">
        <f>"بندرعباس"</f>
        <v>بندرعباس</v>
      </c>
      <c r="C947" s="1" t="str">
        <f>"سالاري مظفر"</f>
        <v>سالاري مظفر</v>
      </c>
      <c r="D947" s="1" t="str">
        <f>"بلوار جمهوري-شير اول-جنب بانک ملي-فروشگاه سالاري"</f>
        <v>بلوار جمهوري-شير اول-جنب بانک ملي-فروشگاه سالاري</v>
      </c>
      <c r="E947" s="1" t="s">
        <v>1574</v>
      </c>
    </row>
    <row r="948" spans="1:5">
      <c r="A948" s="1" t="s">
        <v>1441</v>
      </c>
      <c r="B948" s="1" t="str">
        <f>"تهران"</f>
        <v>تهران</v>
      </c>
      <c r="C948" s="1" t="str">
        <f>"درگاهي عباس(تجهيزات آشپزخانه کاريز)"</f>
        <v>درگاهي عباس(تجهيزات آشپزخانه کاريز)</v>
      </c>
      <c r="D948" s="1" t="str">
        <f>"مجيديه شمالي-بالاتر از ميدان ملت-کوچه نانکلي-پلاک15-زنگ2"</f>
        <v>مجيديه شمالي-بالاتر از ميدان ملت-کوچه نانکلي-پلاک15-زنگ2</v>
      </c>
      <c r="E948" s="1" t="s">
        <v>1574</v>
      </c>
    </row>
    <row r="949" spans="1:5">
      <c r="A949" s="1" t="s">
        <v>1441</v>
      </c>
      <c r="B949" s="1" t="str">
        <f>"زاهدان"</f>
        <v>زاهدان</v>
      </c>
      <c r="C949" s="1" t="str">
        <f>"فنودي مهدي"</f>
        <v>فنودي مهدي</v>
      </c>
      <c r="D949" s="1" t="str">
        <f>"بلوار شهيد مزاري- نرسيده به تقاطع آزادگان- جنب بانك ملت- نبش مزاري 26- فروشگاه نگين خانه"</f>
        <v>بلوار شهيد مزاري- نرسيده به تقاطع آزادگان- جنب بانك ملت- نبش مزاري 26- فروشگاه نگين خانه</v>
      </c>
      <c r="E949" s="1" t="s">
        <v>1574</v>
      </c>
    </row>
    <row r="950" spans="1:5">
      <c r="A950" s="1" t="s">
        <v>1441</v>
      </c>
      <c r="B950" s="1" t="str">
        <f>"قزوين"</f>
        <v>قزوين</v>
      </c>
      <c r="C950" s="1" t="str">
        <f>"نوحي قزوين"</f>
        <v>نوحي قزوين</v>
      </c>
      <c r="D950" s="1" t="str">
        <f>"-"</f>
        <v>-</v>
      </c>
      <c r="E950" s="1" t="s">
        <v>1574</v>
      </c>
    </row>
    <row r="951" spans="1:5">
      <c r="A951" s="1" t="s">
        <v>1441</v>
      </c>
      <c r="B951" s="1" t="str">
        <f>"اروميه"</f>
        <v>اروميه</v>
      </c>
      <c r="C951" s="1" t="str">
        <f>"نصيري نژاد سياوش"</f>
        <v>نصيري نژاد سياوش</v>
      </c>
      <c r="D951" s="1" t="str">
        <f>"بلوار رسالت - روبروي کلانتري 11 - پلاک 217"</f>
        <v>بلوار رسالت - روبروي کلانتري 11 - پلاک 217</v>
      </c>
      <c r="E951" s="1" t="s">
        <v>1574</v>
      </c>
    </row>
    <row r="952" spans="1:5">
      <c r="A952" s="1" t="s">
        <v>1441</v>
      </c>
      <c r="B952" s="1" t="str">
        <f>"اروميه"</f>
        <v>اروميه</v>
      </c>
      <c r="C952" s="1" t="str">
        <f>"دنير افراسياب"</f>
        <v>دنير افراسياب</v>
      </c>
      <c r="D952" s="1" t="str">
        <f>"بلوار باهنر- ميدان مادر- مقابل بانك سپه- فروشگاه سوپر پايپ"</f>
        <v>بلوار باهنر- ميدان مادر- مقابل بانك سپه- فروشگاه سوپر پايپ</v>
      </c>
      <c r="E952" s="1" t="s">
        <v>1574</v>
      </c>
    </row>
    <row r="953" spans="1:5">
      <c r="A953" s="1" t="s">
        <v>1441</v>
      </c>
      <c r="B953" s="1" t="str">
        <f>"زاهدان"</f>
        <v>زاهدان</v>
      </c>
      <c r="C953" s="1" t="str">
        <f>"بيرجندي حسين فريبرز"</f>
        <v>بيرجندي حسين فريبرز</v>
      </c>
      <c r="D953" s="1" t="str">
        <f>"بلوار جانبازان- جانبازان 19- فروشگاه بهار"</f>
        <v>بلوار جانبازان- جانبازان 19- فروشگاه بهار</v>
      </c>
      <c r="E953" s="1" t="s">
        <v>1574</v>
      </c>
    </row>
    <row r="954" spans="1:5">
      <c r="A954" s="1" t="s">
        <v>1441</v>
      </c>
      <c r="B954" s="1" t="str">
        <f>"ملاير"</f>
        <v>ملاير</v>
      </c>
      <c r="C954" s="1" t="str">
        <f>"سعيدي خواه رضا"</f>
        <v>سعيدي خواه رضا</v>
      </c>
      <c r="D954" s="1" t="str">
        <f>"ميدان نبوت- 45 متري نبئت- ابتداي بلوار جانبازان"</f>
        <v>ميدان نبوت- 45 متري نبئت- ابتداي بلوار جانبازان</v>
      </c>
      <c r="E954" s="1" t="s">
        <v>1574</v>
      </c>
    </row>
    <row r="955" spans="1:5">
      <c r="A955" s="1" t="s">
        <v>1441</v>
      </c>
      <c r="B955" s="1" t="str">
        <f>"سنقر"</f>
        <v>سنقر</v>
      </c>
      <c r="C955" s="1" t="str">
        <f>"فلاحي مهدي"</f>
        <v>فلاحي مهدي</v>
      </c>
      <c r="D955" s="1" t="str">
        <f>"بلوار فلسطين- روبروي سپاه- جنب شركت نفت- فروشگاه كسري"</f>
        <v>بلوار فلسطين- روبروي سپاه- جنب شركت نفت- فروشگاه كسري</v>
      </c>
      <c r="E955" s="1" t="s">
        <v>1574</v>
      </c>
    </row>
    <row r="956" spans="1:5">
      <c r="A956" s="1" t="s">
        <v>1441</v>
      </c>
      <c r="B956" s="1" t="str">
        <f>"زنجان"</f>
        <v>زنجان</v>
      </c>
      <c r="C956" s="1" t="str">
        <f>"توکلي حسين"</f>
        <v>توکلي حسين</v>
      </c>
      <c r="D956" s="1" t="str">
        <f>"اسلام آباد-ابتداي خيابان 20 متري مدني-(از طرف پادگان ارتش)-پلاک688"</f>
        <v>اسلام آباد-ابتداي خيابان 20 متري مدني-(از طرف پادگان ارتش)-پلاک688</v>
      </c>
      <c r="E956" s="1" t="s">
        <v>1574</v>
      </c>
    </row>
    <row r="957" spans="1:5">
      <c r="A957" s="1" t="s">
        <v>1441</v>
      </c>
      <c r="B957" s="1" t="str">
        <f>"دره شهر"</f>
        <v>دره شهر</v>
      </c>
      <c r="C957" s="1" t="str">
        <f>"دارايي سجاد"</f>
        <v>دارايي سجاد</v>
      </c>
      <c r="D957" s="1" t="str">
        <f>"خيابان نوروزي- تقاطع خيابان امام حسين- فروشگاه ماهان"</f>
        <v>خيابان نوروزي- تقاطع خيابان امام حسين- فروشگاه ماهان</v>
      </c>
      <c r="E957" s="1" t="s">
        <v>1574</v>
      </c>
    </row>
    <row r="958" spans="1:5">
      <c r="A958" s="1" t="s">
        <v>1441</v>
      </c>
      <c r="B958" s="1" t="str">
        <f>"تهران"</f>
        <v>تهران</v>
      </c>
      <c r="C958" s="1" t="str">
        <f>"تقوي / شادآباد حسن(فروشگاه دلکات)"</f>
        <v>تقوي / شادآباد حسن(فروشگاه دلکات)</v>
      </c>
      <c r="D958" s="1" t="str">
        <f>"شاد آباد ، خيابان 17 شهريور، خيابان شهيد مختاري ، پلاک 51   -    جاده قديم کرج(بزرگراه فتح)- بين پل کن وسه راهي شماره 2 پلاک646"</f>
        <v>شاد آباد ، خيابان 17 شهريور، خيابان شهيد مختاري ، پلاک 51   -    جاده قديم کرج(بزرگراه فتح)- بين پل کن وسه راهي شماره 2 پلاک646</v>
      </c>
      <c r="E958" s="1" t="s">
        <v>1574</v>
      </c>
    </row>
    <row r="959" spans="1:5">
      <c r="A959" s="1" t="s">
        <v>1441</v>
      </c>
      <c r="B959" s="1" t="str">
        <f>"ايرانشهر"</f>
        <v>ايرانشهر</v>
      </c>
      <c r="C959" s="1" t="str">
        <f>"بخشي رضا"</f>
        <v>بخشي رضا</v>
      </c>
      <c r="D959" s="1" t="str">
        <f>"خ ولايت - نبش ولايت 29"</f>
        <v>خ ولايت - نبش ولايت 29</v>
      </c>
      <c r="E959" s="1" t="s">
        <v>1574</v>
      </c>
    </row>
    <row r="960" spans="1:5">
      <c r="A960" s="1" t="s">
        <v>1441</v>
      </c>
      <c r="B960" s="1" t="str">
        <f>"زنجان"</f>
        <v>زنجان</v>
      </c>
      <c r="C960" s="1" t="str">
        <f>"محمدي جعفر"</f>
        <v>محمدي جعفر</v>
      </c>
      <c r="D960" s="1" t="str">
        <f>"35متري عاصم زنجاني- قطعه 16"</f>
        <v>35متري عاصم زنجاني- قطعه 16</v>
      </c>
      <c r="E960" s="1" t="s">
        <v>1574</v>
      </c>
    </row>
    <row r="961" spans="1:5">
      <c r="A961" s="1" t="s">
        <v>1441</v>
      </c>
      <c r="B961" s="1" t="str">
        <f>"شرق"</f>
        <v>شرق</v>
      </c>
      <c r="C961" s="1" t="str">
        <f>"قاسمي سپرو عبدالکريم"</f>
        <v>قاسمي سپرو عبدالکريم</v>
      </c>
      <c r="D961" s="1" t="str">
        <f>"بلوار ابوذر - بعد از پل سوم - خ علامه اميني شکالي - پلاک 128 - فروشگاه قاسمي"</f>
        <v>بلوار ابوذر - بعد از پل سوم - خ علامه اميني شکالي - پلاک 128 - فروشگاه قاسمي</v>
      </c>
      <c r="E961" s="1" t="s">
        <v>1574</v>
      </c>
    </row>
    <row r="962" spans="1:5">
      <c r="A962" s="1" t="s">
        <v>1441</v>
      </c>
      <c r="B962" s="1" t="str">
        <f>"كيش"</f>
        <v>كيش</v>
      </c>
      <c r="C962" s="1" t="str">
        <f>"چاوشان رضا"</f>
        <v>چاوشان رضا</v>
      </c>
      <c r="D962" s="1" t="str">
        <f>"بلوار انديشه - روبروي املاک آتک - ساختمان نوين"</f>
        <v>بلوار انديشه - روبروي املاک آتک - ساختمان نوين</v>
      </c>
      <c r="E962" s="1" t="s">
        <v>1574</v>
      </c>
    </row>
    <row r="963" spans="1:5">
      <c r="A963" s="1" t="s">
        <v>1441</v>
      </c>
      <c r="B963" s="1" t="str">
        <f>"بوكان"</f>
        <v>بوكان</v>
      </c>
      <c r="C963" s="1" t="str">
        <f>"مينايي کاوه"</f>
        <v>مينايي کاوه</v>
      </c>
      <c r="D963" s="1" t="str">
        <f>"خيابان شهيد چمران- نرسيده به بلوار مادر- پلاك 72"</f>
        <v>خيابان شهيد چمران- نرسيده به بلوار مادر- پلاك 72</v>
      </c>
      <c r="E963" s="1" t="s">
        <v>1574</v>
      </c>
    </row>
    <row r="964" spans="1:5">
      <c r="A964" s="1" t="s">
        <v>1441</v>
      </c>
      <c r="B964" s="1" t="str">
        <f>"تهران"</f>
        <v>تهران</v>
      </c>
      <c r="C964" s="1" t="str">
        <f>"رمضاني اميرحسين"</f>
        <v>رمضاني اميرحسين</v>
      </c>
      <c r="D964" s="1" t="str">
        <f>"باقرشهر - خ يادگار امام - پلاک 84"</f>
        <v>باقرشهر - خ يادگار امام - پلاک 84</v>
      </c>
      <c r="E964" s="1" t="s">
        <v>1574</v>
      </c>
    </row>
    <row r="965" spans="1:5">
      <c r="A965" s="1" t="s">
        <v>1441</v>
      </c>
      <c r="B965" s="1" t="str">
        <f>"نهاوند"</f>
        <v>نهاوند</v>
      </c>
      <c r="C965" s="1" t="str">
        <f>"علي بخشي روح اله"</f>
        <v>علي بخشي روح اله</v>
      </c>
      <c r="D965" s="1" t="str">
        <f>"جنب اداره پست - فروشگاه تيکاب"</f>
        <v>جنب اداره پست - فروشگاه تيکاب</v>
      </c>
      <c r="E965" s="1" t="s">
        <v>1574</v>
      </c>
    </row>
    <row r="966" spans="1:5">
      <c r="A966" s="1" t="s">
        <v>1441</v>
      </c>
      <c r="B966" s="1" t="str">
        <f>"درود"</f>
        <v>درود</v>
      </c>
      <c r="C966" s="1" t="str">
        <f>"فرهاد زاده کوروش"</f>
        <v>فرهاد زاده کوروش</v>
      </c>
      <c r="D966" s="1" t="str">
        <f>"ناصرالدين"</f>
        <v>ناصرالدين</v>
      </c>
      <c r="E966" s="1" t="s">
        <v>1574</v>
      </c>
    </row>
    <row r="967" spans="1:5">
      <c r="A967" s="1" t="s">
        <v>1441</v>
      </c>
      <c r="B967" s="1" t="str">
        <f>"گلستان"</f>
        <v>گلستان</v>
      </c>
      <c r="C967" s="1" t="str">
        <f>"ارمک عبدالرسول"</f>
        <v>ارمک عبدالرسول</v>
      </c>
      <c r="D967" s="1" t="str">
        <f>"کلاله-خيابان شهيد مدني- روبروي آژانس پرديس- فروشگاه ارمك"</f>
        <v>کلاله-خيابان شهيد مدني- روبروي آژانس پرديس- فروشگاه ارمك</v>
      </c>
      <c r="E967" s="1" t="s">
        <v>1574</v>
      </c>
    </row>
    <row r="968" spans="1:5">
      <c r="A968" s="1" t="s">
        <v>1441</v>
      </c>
      <c r="B968" s="1" t="str">
        <f>"سراوان"</f>
        <v>سراوان</v>
      </c>
      <c r="C968" s="1" t="str">
        <f>"سپاهي محمدرحيم(تهران)"</f>
        <v>سپاهي محمدرحيم(تهران)</v>
      </c>
      <c r="D968" s="1" t="str">
        <f>"سراوان-خ امام خم?ن? جنب بانک مهر"</f>
        <v>سراوان-خ امام خم?ن? جنب بانک مهر</v>
      </c>
      <c r="E968" s="1" t="s">
        <v>1574</v>
      </c>
    </row>
    <row r="969" spans="1:5">
      <c r="A969" s="1" t="s">
        <v>1441</v>
      </c>
      <c r="B969" s="1" t="str">
        <f>"قم"</f>
        <v>قم</v>
      </c>
      <c r="C969" s="1" t="str">
        <f>"آقاجاني مهدي(تهران)"</f>
        <v>آقاجاني مهدي(تهران)</v>
      </c>
      <c r="D969" s="1" t="str">
        <f>"45 متري صدوق- نبش 30 متري آستانه(دكتر جهانبيني)"</f>
        <v>45 متري صدوق- نبش 30 متري آستانه(دكتر جهانبيني)</v>
      </c>
      <c r="E969" s="1" t="s">
        <v>1574</v>
      </c>
    </row>
    <row r="970" spans="1:5">
      <c r="A970" s="1" t="s">
        <v>1441</v>
      </c>
      <c r="B970" s="1" t="str">
        <f>"ايرانشهر"</f>
        <v>ايرانشهر</v>
      </c>
      <c r="C970" s="1" t="str">
        <f>"اکبرزاده حسن(تهران)"</f>
        <v>اکبرزاده حسن(تهران)</v>
      </c>
      <c r="D970" s="1" t="str">
        <f>"فلكه ايرانپيما- فروشگاه اكبرزاده"</f>
        <v>فلكه ايرانپيما- فروشگاه اكبرزاده</v>
      </c>
      <c r="E970" s="1" t="s">
        <v>1574</v>
      </c>
    </row>
    <row r="971" spans="1:5">
      <c r="A971" s="1" t="s">
        <v>1441</v>
      </c>
      <c r="B971" s="1" t="str">
        <f>"ميناب"</f>
        <v>ميناب</v>
      </c>
      <c r="C971" s="1" t="str">
        <f>"عليزاده اسلام(تهران)"</f>
        <v>عليزاده اسلام(تهران)</v>
      </c>
      <c r="D971" s="1" t="str">
        <f>"بلوار امام - کوچه تعميرگاه تهران - جنب چلوکبابي استقلال"</f>
        <v>بلوار امام - کوچه تعميرگاه تهران - جنب چلوکبابي استقلال</v>
      </c>
      <c r="E971" s="1" t="s">
        <v>1574</v>
      </c>
    </row>
    <row r="972" spans="1:5">
      <c r="A972" s="1" t="s">
        <v>1441</v>
      </c>
      <c r="B972" s="1" t="str">
        <f>"قشم"</f>
        <v>قشم</v>
      </c>
      <c r="C972" s="1" t="str">
        <f>"شافعي عبدالجواد(تهران)"</f>
        <v>شافعي عبدالجواد(تهران)</v>
      </c>
      <c r="D972" s="1" t="str">
        <f>"ميدان سعدي (برگ سبز) - ابتداي پيروزي"</f>
        <v>ميدان سعدي (برگ سبز) - ابتداي پيروزي</v>
      </c>
      <c r="E972" s="1" t="s">
        <v>1574</v>
      </c>
    </row>
    <row r="973" spans="1:5">
      <c r="A973" s="1" t="s">
        <v>1441</v>
      </c>
      <c r="B973" s="1" t="str">
        <f>"قشم"</f>
        <v>قشم</v>
      </c>
      <c r="C973" s="1" t="str">
        <f>"پشام عبدالستار"</f>
        <v>پشام عبدالستار</v>
      </c>
      <c r="D973" s="1" t="str">
        <f>"درگاهان - جنب مسجد قبا"</f>
        <v>درگاهان - جنب مسجد قبا</v>
      </c>
      <c r="E973" s="1" t="s">
        <v>1574</v>
      </c>
    </row>
    <row r="974" spans="1:5">
      <c r="A974" s="1" t="s">
        <v>1441</v>
      </c>
      <c r="B974" s="1" t="str">
        <f>"سراوان"</f>
        <v>سراوان</v>
      </c>
      <c r="C974" s="1" t="str">
        <f>"دلشادزهي محمد اکبر(تهران)"</f>
        <v>دلشادزهي محمد اکبر(تهران)</v>
      </c>
      <c r="D974" s="1" t="str">
        <f>"خيابان امام خميني- روبروي پاساژ نور"</f>
        <v>خيابان امام خميني- روبروي پاساژ نور</v>
      </c>
      <c r="E974" s="1" t="s">
        <v>1574</v>
      </c>
    </row>
    <row r="975" spans="1:5">
      <c r="A975" s="1" t="s">
        <v>1441</v>
      </c>
      <c r="B975" s="1" t="str">
        <f>"زابل"</f>
        <v>زابل</v>
      </c>
      <c r="C975" s="1" t="str">
        <f>"معين حميدرضا(تهران)"</f>
        <v>معين حميدرضا(تهران)</v>
      </c>
      <c r="D975" s="1" t="str">
        <f>"فلكه امام رضا- بلوار جهاد"</f>
        <v>فلكه امام رضا- بلوار جهاد</v>
      </c>
      <c r="E975" s="1" t="s">
        <v>1574</v>
      </c>
    </row>
    <row r="976" spans="1:5">
      <c r="A976" s="1" t="s">
        <v>1441</v>
      </c>
      <c r="B976" s="1" t="str">
        <f>"كرمانشاه"</f>
        <v>كرمانشاه</v>
      </c>
      <c r="C976" s="1" t="str">
        <f>"مرادي شاهين"</f>
        <v>مرادي شاهين</v>
      </c>
      <c r="D976" s="1" t="str">
        <f>"خيابان جوانشير- جنب گاراژ كوهساري- پلاك 804- لوازم ساختماني مرادي"</f>
        <v>خيابان جوانشير- جنب گاراژ كوهساري- پلاك 804- لوازم ساختماني مرادي</v>
      </c>
      <c r="E976" s="1" t="s">
        <v>1574</v>
      </c>
    </row>
    <row r="977" spans="1:5">
      <c r="A977" s="1" t="s">
        <v>1441</v>
      </c>
      <c r="B977" s="1" t="str">
        <f>"زنجان"</f>
        <v>زنجان</v>
      </c>
      <c r="C977" s="1" t="str">
        <f>"پيري مرتضي"</f>
        <v>پيري مرتضي</v>
      </c>
      <c r="D977" s="1" t="str">
        <f>"پائين تر از بانك سپه- ابزار و يراق پيري"</f>
        <v>پائين تر از بانك سپه- ابزار و يراق پيري</v>
      </c>
      <c r="E977" s="1" t="s">
        <v>1574</v>
      </c>
    </row>
    <row r="978" spans="1:5">
      <c r="A978" s="1" t="s">
        <v>1441</v>
      </c>
      <c r="B978" s="1" t="str">
        <f>"خدابنده"</f>
        <v>خدابنده</v>
      </c>
      <c r="C978" s="1" t="str">
        <f>"سليماني هوشنگ"</f>
        <v>سليماني هوشنگ</v>
      </c>
      <c r="D978" s="1" t="str">
        <f>"روبروي آموزش و پرورش - فروشگاه سليماني"</f>
        <v>روبروي آموزش و پرورش - فروشگاه سليماني</v>
      </c>
      <c r="E978" s="1" t="s">
        <v>1574</v>
      </c>
    </row>
    <row r="979" spans="1:5">
      <c r="A979" s="1" t="s">
        <v>1441</v>
      </c>
      <c r="B979" s="1" t="str">
        <f>"تهران"</f>
        <v>تهران</v>
      </c>
      <c r="C979" s="1" t="str">
        <f>"سيانکي وحيد(فروشگاه نوين)"</f>
        <v>سيانکي وحيد(فروشگاه نوين)</v>
      </c>
      <c r="D979" s="1" t="str">
        <f>"خيابان پيروزي- بلوار ابوذر- نرسيده به پل اول- بين هفت و هشت غربي- پلاك 123"</f>
        <v>خيابان پيروزي- بلوار ابوذر- نرسيده به پل اول- بين هفت و هشت غربي- پلاك 123</v>
      </c>
      <c r="E979" s="1" t="s">
        <v>1574</v>
      </c>
    </row>
    <row r="980" spans="1:5">
      <c r="A980" s="1" t="s">
        <v>1441</v>
      </c>
      <c r="B980" s="1" t="str">
        <f>"زنجان"</f>
        <v>زنجان</v>
      </c>
      <c r="C980" s="1" t="str">
        <f>"بيات محمد علي"</f>
        <v>بيات محمد علي</v>
      </c>
      <c r="D980" s="1" t="str">
        <f>"اسلام آباد- خيابان 24 متري- شهيد مصطفي خميني- پلاك 186- فروشگاه لوله و اتصالات بيات"</f>
        <v>اسلام آباد- خيابان 24 متري- شهيد مصطفي خميني- پلاك 186- فروشگاه لوله و اتصالات بيات</v>
      </c>
      <c r="E980" s="1" t="s">
        <v>1574</v>
      </c>
    </row>
    <row r="981" spans="1:5">
      <c r="A981" s="1" t="s">
        <v>1441</v>
      </c>
      <c r="B981" s="1" t="str">
        <f>"اردبيل"</f>
        <v>اردبيل</v>
      </c>
      <c r="C981" s="1" t="str">
        <f>"آقازاده محسن"</f>
        <v>آقازاده محسن</v>
      </c>
      <c r="D981" s="1" t="str">
        <f>"خ دانش - جنب مسجد - بالاتر از راهنمايي و رانندگي"</f>
        <v>خ دانش - جنب مسجد - بالاتر از راهنمايي و رانندگي</v>
      </c>
      <c r="E981" s="1" t="s">
        <v>1574</v>
      </c>
    </row>
    <row r="982" spans="1:5">
      <c r="A982" s="1" t="s">
        <v>1441</v>
      </c>
      <c r="B982" s="1" t="str">
        <f>"ميناب"</f>
        <v>ميناب</v>
      </c>
      <c r="C982" s="1" t="str">
        <f>"معلمي مجيد(ميناب)"</f>
        <v>معلمي مجيد(ميناب)</v>
      </c>
      <c r="D982" s="1" t="str">
        <f>"شيخ آباد ، بلوار رسالت ، روبروي باغ کشاوري ، کاشي سراميک مرکزي"</f>
        <v>شيخ آباد ، بلوار رسالت ، روبروي باغ کشاوري ، کاشي سراميک مرکزي</v>
      </c>
      <c r="E982" s="1" t="s">
        <v>1574</v>
      </c>
    </row>
    <row r="983" spans="1:5">
      <c r="A983" s="1" t="s">
        <v>1441</v>
      </c>
      <c r="B983" s="1" t="str">
        <f>"ابهر"</f>
        <v>ابهر</v>
      </c>
      <c r="C983" s="1" t="str">
        <f>"شرعي امين"</f>
        <v>شرعي امين</v>
      </c>
      <c r="D983" s="1" t="str">
        <f>"جاده ترانزيت- نبش 12 متري لاله- فروشگاه زمرد"</f>
        <v>جاده ترانزيت- نبش 12 متري لاله- فروشگاه زمرد</v>
      </c>
      <c r="E983" s="1" t="s">
        <v>1574</v>
      </c>
    </row>
    <row r="984" spans="1:5">
      <c r="A984" s="1" t="s">
        <v>1441</v>
      </c>
      <c r="B984" s="1" t="str">
        <f>"شاهرود"</f>
        <v>شاهرود</v>
      </c>
      <c r="C984" s="1" t="str">
        <f>"ذبيحي مسعود"</f>
        <v>ذبيحي مسعود</v>
      </c>
      <c r="D984" s="1" t="str">
        <f>"انتهاي خيابان امام ، جنب پل باغ زندان ، مصالح ساختماني بنياد"</f>
        <v>انتهاي خيابان امام ، جنب پل باغ زندان ، مصالح ساختماني بنياد</v>
      </c>
      <c r="E984" s="1" t="s">
        <v>1574</v>
      </c>
    </row>
    <row r="985" spans="1:5">
      <c r="A985" s="1" t="s">
        <v>1441</v>
      </c>
      <c r="B985" s="1" t="str">
        <f>"ورامين"</f>
        <v>ورامين</v>
      </c>
      <c r="C985" s="1" t="str">
        <f>"امري قرچك/ورامين"</f>
        <v>امري قرچك/ورامين</v>
      </c>
      <c r="D985" s="1" t="str">
        <f>"قرچك- روبروي استخر آرام"</f>
        <v>قرچك- روبروي استخر آرام</v>
      </c>
      <c r="E985" s="1" t="s">
        <v>1574</v>
      </c>
    </row>
    <row r="986" spans="1:5">
      <c r="A986" s="1" t="s">
        <v>1441</v>
      </c>
      <c r="B986" s="1" t="str">
        <f>"خلخال"</f>
        <v>خلخال</v>
      </c>
      <c r="C986" s="1" t="str">
        <f>"رحيمي سينا"</f>
        <v>رحيمي سينا</v>
      </c>
      <c r="D986" s="1" t="str">
        <f>"خيابان مظفر - جنب شيريني رکس"</f>
        <v>خيابان مظفر - جنب شيريني رکس</v>
      </c>
      <c r="E986" s="1" t="s">
        <v>1574</v>
      </c>
    </row>
    <row r="987" spans="1:5">
      <c r="A987" s="1" t="s">
        <v>1441</v>
      </c>
      <c r="B987" s="1" t="str">
        <f>"اردبيل"</f>
        <v>اردبيل</v>
      </c>
      <c r="C987" s="1" t="str">
        <f>"عيسي زاده ساسان"</f>
        <v>عيسي زاده ساسان</v>
      </c>
      <c r="D987" s="1" t="str">
        <f>"خيابان امام- چهار راه ژاندارمري- روبروي بانك سپه"</f>
        <v>خيابان امام- چهار راه ژاندارمري- روبروي بانك سپه</v>
      </c>
      <c r="E987" s="1" t="s">
        <v>1574</v>
      </c>
    </row>
    <row r="988" spans="1:5">
      <c r="A988" s="1" t="s">
        <v>1441</v>
      </c>
      <c r="B988" s="1" t="str">
        <f>"اراك"</f>
        <v>اراك</v>
      </c>
      <c r="C988" s="1" t="str">
        <f>"فدوي محمد جعفر(صنايع فلزي اطمينان)"</f>
        <v>فدوي محمد جعفر(صنايع فلزي اطمينان)</v>
      </c>
      <c r="D988" s="1" t="str">
        <f>"خيابان ميرزاي شيرازي- خيابان پل برق- جنب كوچه موسوي"</f>
        <v>خيابان ميرزاي شيرازي- خيابان پل برق- جنب كوچه موسوي</v>
      </c>
      <c r="E988" s="1" t="s">
        <v>1574</v>
      </c>
    </row>
    <row r="989" spans="1:5">
      <c r="A989" s="1" t="s">
        <v>1441</v>
      </c>
      <c r="B989" s="1" t="str">
        <f>"بندرلنگه"</f>
        <v>بندرلنگه</v>
      </c>
      <c r="C989" s="1" t="str">
        <f>"حافظي ايوب(بندر لنگه)"</f>
        <v>حافظي ايوب(بندر لنگه)</v>
      </c>
      <c r="D989" s="1" t="str">
        <f>"خيابان شهيد سعداني- جنب داروخانه دكتر ميعاد- فروشگاه مرواريد"</f>
        <v>خيابان شهيد سعداني- جنب داروخانه دكتر ميعاد- فروشگاه مرواريد</v>
      </c>
      <c r="E989" s="1" t="s">
        <v>1574</v>
      </c>
    </row>
    <row r="990" spans="1:5">
      <c r="A990" s="1" t="s">
        <v>1441</v>
      </c>
      <c r="B990" s="1" t="str">
        <f>"اردبيل"</f>
        <v>اردبيل</v>
      </c>
      <c r="C990" s="1" t="str">
        <f>"احمدي يوسف"</f>
        <v>احمدي يوسف</v>
      </c>
      <c r="D990" s="1" t="str">
        <f>"مشکين شهر-خيابان باهنر جنوبي(اكبرلو)- روبروي پرده سراي گلستان"</f>
        <v>مشکين شهر-خيابان باهنر جنوبي(اكبرلو)- روبروي پرده سراي گلستان</v>
      </c>
      <c r="E990" s="1" t="s">
        <v>1574</v>
      </c>
    </row>
    <row r="991" spans="1:5">
      <c r="A991" s="1" t="s">
        <v>1441</v>
      </c>
      <c r="B991" s="1" t="str">
        <f>"تهران"</f>
        <v>تهران</v>
      </c>
      <c r="C991" s="1" t="str">
        <f>"ارفعي احمد"</f>
        <v>ارفعي احمد</v>
      </c>
      <c r="D991" s="1" t="str">
        <f>"جنت آباد شمالي- سي متري المهدي- بهاران 5- پلاك 6"</f>
        <v>جنت آباد شمالي- سي متري المهدي- بهاران 5- پلاك 6</v>
      </c>
      <c r="E991" s="1" t="s">
        <v>1574</v>
      </c>
    </row>
    <row r="992" spans="1:5">
      <c r="A992" s="1" t="s">
        <v>1441</v>
      </c>
      <c r="B992" s="1" t="str">
        <f>"مرکزي"</f>
        <v>مرکزي</v>
      </c>
      <c r="C992" s="1" t="str">
        <f>"ياوري محمد"</f>
        <v>ياوري محمد</v>
      </c>
      <c r="D992" s="1" t="str">
        <f>"محلات - بلوار کمربندي غربي - حدفاصل ميدان استاديوم و پارک جنگلي"</f>
        <v>محلات - بلوار کمربندي غربي - حدفاصل ميدان استاديوم و پارک جنگلي</v>
      </c>
      <c r="E992" s="1" t="s">
        <v>1574</v>
      </c>
    </row>
    <row r="993" spans="1:5">
      <c r="A993" s="1" t="s">
        <v>1441</v>
      </c>
      <c r="B993" s="1" t="str">
        <f>"درود"</f>
        <v>درود</v>
      </c>
      <c r="C993" s="1" t="str">
        <f>"مقدسي نبي الله"</f>
        <v>مقدسي نبي الله</v>
      </c>
      <c r="D993" s="1" t="str">
        <f>"بلوار شهيد بهشتي - جنب بانک ملي انگشته"</f>
        <v>بلوار شهيد بهشتي - جنب بانک ملي انگشته</v>
      </c>
      <c r="E993" s="1" t="s">
        <v>1574</v>
      </c>
    </row>
    <row r="994" spans="1:5">
      <c r="A994" s="1" t="s">
        <v>1441</v>
      </c>
      <c r="B994" s="1" t="str">
        <f>"كرمانشاه"</f>
        <v>كرمانشاه</v>
      </c>
      <c r="C994" s="1" t="str">
        <f>"زردشتيان وريا"</f>
        <v>زردشتيان وريا</v>
      </c>
      <c r="D994" s="1" t="str">
        <f>"خ جوانشير - خ کوهساري - جنب نانوايي ماشيني"</f>
        <v>خ جوانشير - خ کوهساري - جنب نانوايي ماشيني</v>
      </c>
      <c r="E994" s="1" t="s">
        <v>1574</v>
      </c>
    </row>
    <row r="995" spans="1:5">
      <c r="A995" s="1" t="s">
        <v>1441</v>
      </c>
      <c r="B995" s="1" t="str">
        <f>"خرم آباد"</f>
        <v>خرم آباد</v>
      </c>
      <c r="C995" s="1" t="str">
        <f>"نوذري زاده مهدي"</f>
        <v>نوذري زاده مهدي</v>
      </c>
      <c r="D995" s="1" t="str">
        <f>"خ رازي- بالاتر از ميدان-  پلاك 169- فروشگاه نوذري"</f>
        <v>خ رازي- بالاتر از ميدان-  پلاك 169- فروشگاه نوذري</v>
      </c>
      <c r="E995" s="1" t="s">
        <v>1574</v>
      </c>
    </row>
    <row r="996" spans="1:5">
      <c r="A996" s="1" t="s">
        <v>1441</v>
      </c>
      <c r="B996" s="1" t="str">
        <f>"اليگودرز"</f>
        <v>اليگودرز</v>
      </c>
      <c r="C996" s="1" t="str">
        <f>"برومند محمود"</f>
        <v>برومند محمود</v>
      </c>
      <c r="D996" s="1" t="str">
        <f>"خ شريعتي- فروشگاه برومند"</f>
        <v>خ شريعتي- فروشگاه برومند</v>
      </c>
      <c r="E996" s="1" t="s">
        <v>1574</v>
      </c>
    </row>
    <row r="997" spans="1:5">
      <c r="A997" s="1" t="s">
        <v>1441</v>
      </c>
      <c r="B997" s="1" t="str">
        <f>"خرم آباد"</f>
        <v>خرم آباد</v>
      </c>
      <c r="C997" s="1" t="str">
        <f>"گدازگر محمد"</f>
        <v>گدازگر محمد</v>
      </c>
      <c r="D997" s="1" t="str">
        <f>"خيابان وصال- بعد از مسجد- فروشگاه گدازگر"</f>
        <v>خيابان وصال- بعد از مسجد- فروشگاه گدازگر</v>
      </c>
      <c r="E997" s="1" t="s">
        <v>1574</v>
      </c>
    </row>
    <row r="998" spans="1:5">
      <c r="A998" s="1" t="s">
        <v>1441</v>
      </c>
      <c r="B998" s="1" t="str">
        <f>"شهريار"</f>
        <v>شهريار</v>
      </c>
      <c r="C998" s="1" t="str">
        <f>"نجار عليزاده(‌فروشگاه آويژه)"</f>
        <v>نجار عليزاده(‌فروشگاه آويژه)</v>
      </c>
      <c r="D998" s="1" t="str">
        <f>"گلگون- نبش ميلاد جنوبي- پلاك يك"</f>
        <v>گلگون- نبش ميلاد جنوبي- پلاك يك</v>
      </c>
      <c r="E998" s="1" t="s">
        <v>1574</v>
      </c>
    </row>
    <row r="999" spans="1:5">
      <c r="A999" s="1" t="s">
        <v>1441</v>
      </c>
      <c r="B999" s="1" t="str">
        <f>"خمين"</f>
        <v>خمين</v>
      </c>
      <c r="C999" s="1" t="str">
        <f>"عسگري مهدي"</f>
        <v>عسگري مهدي</v>
      </c>
      <c r="D999" s="1" t="str">
        <f>"خمين- خ شريعتي- بعد از چهار راه منتظري- جنب بانك مسكن"</f>
        <v>خمين- خ شريعتي- بعد از چهار راه منتظري- جنب بانك مسكن</v>
      </c>
      <c r="E999" s="1" t="s">
        <v>1574</v>
      </c>
    </row>
    <row r="1000" spans="1:5">
      <c r="A1000" s="1" t="s">
        <v>1441</v>
      </c>
      <c r="B1000" s="1" t="str">
        <f>"الشتر"</f>
        <v>الشتر</v>
      </c>
      <c r="C1000" s="1" t="str">
        <f>"پشته رضا (فروشگاه قائم)"</f>
        <v>پشته رضا (فروشگاه قائم)</v>
      </c>
      <c r="D1000" s="1" t="str">
        <f>"الشتر- خيابان دانش آموز - روبروي كانون شهيد مطهري"</f>
        <v>الشتر- خيابان دانش آموز - روبروي كانون شهيد مطهري</v>
      </c>
      <c r="E1000" s="1" t="s">
        <v>1574</v>
      </c>
    </row>
    <row r="1001" spans="1:5">
      <c r="A1001" s="1" t="s">
        <v>1441</v>
      </c>
      <c r="B1001" s="1" t="str">
        <f>"كوهدشت"</f>
        <v>كوهدشت</v>
      </c>
      <c r="C1001" s="1" t="str">
        <f>"هاديان محمد"</f>
        <v>هاديان محمد</v>
      </c>
      <c r="D1001" s="1" t="str">
        <f>"خيابان امام- فروشگاه مرواريد"</f>
        <v>خيابان امام- فروشگاه مرواريد</v>
      </c>
      <c r="E1001" s="1" t="s">
        <v>1574</v>
      </c>
    </row>
    <row r="1002" spans="1:5">
      <c r="A1002" s="1" t="s">
        <v>1441</v>
      </c>
      <c r="B1002" s="1" t="str">
        <f>"اردبيل"</f>
        <v>اردبيل</v>
      </c>
      <c r="C1002" s="1" t="str">
        <f>"حسيني احمد (اردبيل)"</f>
        <v>حسيني احمد (اردبيل)</v>
      </c>
      <c r="D1002" s="1" t="str">
        <f>"اردبيل- خ شريعتي"</f>
        <v>اردبيل- خ شريعتي</v>
      </c>
      <c r="E1002" s="1" t="s">
        <v>1574</v>
      </c>
    </row>
    <row r="1003" spans="1:5">
      <c r="A1003" s="1" t="s">
        <v>1441</v>
      </c>
      <c r="B1003" s="1" t="str">
        <f>"شازند"</f>
        <v>شازند</v>
      </c>
      <c r="C1003" s="1" t="str">
        <f>"ادريس پور بهمن"</f>
        <v>ادريس پور بهمن</v>
      </c>
      <c r="D1003" s="1" t="str">
        <f>"خيابان امام - ابتداي جاده آستانه - فروشگاه ادريس پور"</f>
        <v>خيابان امام - ابتداي جاده آستانه - فروشگاه ادريس پور</v>
      </c>
      <c r="E1003" s="1" t="s">
        <v>1574</v>
      </c>
    </row>
    <row r="1004" spans="1:5">
      <c r="A1004" s="1" t="s">
        <v>1441</v>
      </c>
      <c r="B1004" s="1" t="str">
        <f>"تهران"</f>
        <v>تهران</v>
      </c>
      <c r="C1004" s="1" t="str">
        <f>"جباري خامنه منوچهر"</f>
        <v>جباري خامنه منوچهر</v>
      </c>
      <c r="D1004" s="1" t="str">
        <f>"خ امام خميني - نبش چهار راه رودکي - پلاک 706"</f>
        <v>خ امام خميني - نبش چهار راه رودکي - پلاک 706</v>
      </c>
      <c r="E1004" s="1" t="s">
        <v>1574</v>
      </c>
    </row>
    <row r="1005" spans="1:5">
      <c r="A1005" s="1" t="s">
        <v>1441</v>
      </c>
      <c r="B1005" s="1" t="str">
        <f>"ساوه"</f>
        <v>ساوه</v>
      </c>
      <c r="C1005" s="1" t="str">
        <f>"سعيدي هاشم"</f>
        <v>سعيدي هاشم</v>
      </c>
      <c r="D1005" s="1" t="str">
        <f>"خ جمهوري- فروشگاه سعيدي"</f>
        <v>خ جمهوري- فروشگاه سعيدي</v>
      </c>
      <c r="E1005" s="1" t="s">
        <v>1574</v>
      </c>
    </row>
    <row r="1006" spans="1:5">
      <c r="A1006" s="1" t="s">
        <v>1441</v>
      </c>
      <c r="B1006" s="1" t="str">
        <f>"كامياران"</f>
        <v>كامياران</v>
      </c>
      <c r="C1006" s="1" t="str">
        <f>"محمدي بخشيد"</f>
        <v>محمدي بخشيد</v>
      </c>
      <c r="D1006" s="1" t="str">
        <f>"خ شهيد بهشتي- جنب بانك تجارت- فروشگاه الوان"</f>
        <v>خ شهيد بهشتي- جنب بانك تجارت- فروشگاه الوان</v>
      </c>
      <c r="E1006" s="1" t="s">
        <v>1574</v>
      </c>
    </row>
    <row r="1007" spans="1:5">
      <c r="A1007" s="1" t="s">
        <v>1441</v>
      </c>
      <c r="B1007" s="1" t="str">
        <f>"تهران"</f>
        <v>تهران</v>
      </c>
      <c r="C1007" s="1" t="str">
        <f>"بطحايي (فروشگاه سيلور)"</f>
        <v>بطحايي (فروشگاه سيلور)</v>
      </c>
      <c r="D1007" s="1" t="str">
        <f>"باغ فيض - روبروي درمانگاه ابوريحان - پلاک 79"</f>
        <v>باغ فيض - روبروي درمانگاه ابوريحان - پلاک 79</v>
      </c>
      <c r="E1007" s="1" t="s">
        <v>1574</v>
      </c>
    </row>
    <row r="1008" spans="1:5">
      <c r="A1008" s="1" t="s">
        <v>1441</v>
      </c>
      <c r="B1008" s="1" t="str">
        <f>"زنجان"</f>
        <v>زنجان</v>
      </c>
      <c r="C1008" s="1" t="str">
        <f>"كلانتري منوچهر (ماهان گستر خرم)"</f>
        <v>كلانتري منوچهر (ماهان گستر خرم)</v>
      </c>
      <c r="D1008" s="1" t="str">
        <f>"خرم دره- خ شهيد مصطفي خميني- پائين تر از بانك قوامين- شركت ماهان گستر خرم"</f>
        <v>خرم دره- خ شهيد مصطفي خميني- پائين تر از بانك قوامين- شركت ماهان گستر خرم</v>
      </c>
      <c r="E1008" s="1" t="s">
        <v>1574</v>
      </c>
    </row>
    <row r="1009" spans="1:5">
      <c r="A1009" s="1" t="s">
        <v>1441</v>
      </c>
      <c r="B1009" s="1" t="str">
        <f>"بازار"</f>
        <v>بازار</v>
      </c>
      <c r="C1009" s="1" t="str">
        <f>"بزاز محمد باقر"</f>
        <v>بزاز محمد باقر</v>
      </c>
      <c r="D1009" s="1" t="str">
        <f>"چهار راه گلوبندك- ابتداي 15 خرداد غربي- پلاك 607"</f>
        <v>چهار راه گلوبندك- ابتداي 15 خرداد غربي- پلاك 607</v>
      </c>
      <c r="E1009" s="1" t="s">
        <v>1574</v>
      </c>
    </row>
    <row r="1010" spans="1:5">
      <c r="A1010" s="1" t="s">
        <v>1441</v>
      </c>
      <c r="B1010" s="1" t="str">
        <f>"ورامين"</f>
        <v>ورامين</v>
      </c>
      <c r="C1010" s="1" t="str">
        <f>"عابديني حسين (ورامين)"</f>
        <v>عابديني حسين (ورامين)</v>
      </c>
      <c r="D1010" s="1" t="str">
        <f>"35 رسالت-جنب رستوران گلستان- فروشگاه عابديني"</f>
        <v>35 رسالت-جنب رستوران گلستان- فروشگاه عابديني</v>
      </c>
      <c r="E1010" s="1" t="s">
        <v>1574</v>
      </c>
    </row>
    <row r="1011" spans="1:5">
      <c r="A1011" s="1" t="s">
        <v>1441</v>
      </c>
      <c r="B1011" s="1" t="str">
        <f>"كنگاور"</f>
        <v>كنگاور</v>
      </c>
      <c r="C1011" s="1" t="str">
        <f>"خزائيان ميلاد"</f>
        <v>خزائيان ميلاد</v>
      </c>
      <c r="D1011" s="1" t="str">
        <f>"خ شهدا- پائين تر از كوچه عظيمي- فروشگاه خزائيان"</f>
        <v>خ شهدا- پائين تر از كوچه عظيمي- فروشگاه خزائيان</v>
      </c>
      <c r="E1011" s="1" t="s">
        <v>1574</v>
      </c>
    </row>
    <row r="1012" spans="1:5">
      <c r="A1012" s="1" t="s">
        <v>1441</v>
      </c>
      <c r="B1012" s="1" t="str">
        <f>"اسلام آباد غرب"</f>
        <v>اسلام آباد غرب</v>
      </c>
      <c r="C1012" s="1" t="str">
        <f>"تواسي كوروش"</f>
        <v>تواسي كوروش</v>
      </c>
      <c r="D1012" s="1" t="str">
        <f>"اسلام اباد غرب- بلوار شهيد فتاحي- روبروي پمپ بنزين"</f>
        <v>اسلام اباد غرب- بلوار شهيد فتاحي- روبروي پمپ بنزين</v>
      </c>
      <c r="E1012" s="1" t="s">
        <v>1574</v>
      </c>
    </row>
    <row r="1013" spans="1:5">
      <c r="A1013" s="1" t="s">
        <v>1441</v>
      </c>
      <c r="B1013" s="1" t="str">
        <f>"كرج"</f>
        <v>كرج</v>
      </c>
      <c r="C1013" s="1" t="str">
        <f>"صدوقي عليرضا"</f>
        <v>صدوقي عليرضا</v>
      </c>
      <c r="D1013" s="1" t="str">
        <f>"سه راه رجايي شهر- بلوار يادگار امام- ياسر 2- پلاک 6- فروشگاه صدوقي"</f>
        <v>سه راه رجايي شهر- بلوار يادگار امام- ياسر 2- پلاک 6- فروشگاه صدوقي</v>
      </c>
      <c r="E1013" s="1" t="s">
        <v>1574</v>
      </c>
    </row>
    <row r="1014" spans="1:5">
      <c r="A1014" s="1" t="s">
        <v>1441</v>
      </c>
      <c r="B1014" s="1" t="str">
        <f>"بازار"</f>
        <v>بازار</v>
      </c>
      <c r="C1014" s="1" t="str">
        <f>"مرجاني عباس"</f>
        <v>مرجاني عباس</v>
      </c>
      <c r="D1014" s="1" t="str">
        <f>"خ خيام- چهار راه گلوبندك- كوچه حمام ملا باشي- پاساژ سيدالشهدا- طبقه پايين واحد 4 و5 فروشگاه مرجاني"</f>
        <v>خ خيام- چهار راه گلوبندك- كوچه حمام ملا باشي- پاساژ سيدالشهدا- طبقه پايين واحد 4 و5 فروشگاه مرجاني</v>
      </c>
      <c r="E1014" s="1" t="s">
        <v>1574</v>
      </c>
    </row>
    <row r="1015" spans="1:5">
      <c r="A1015" s="1" t="s">
        <v>1441</v>
      </c>
      <c r="B1015" s="1" t="str">
        <f>"رشت"</f>
        <v>رشت</v>
      </c>
      <c r="C1015" s="1" t="str">
        <f>"سكوتي رحيم"</f>
        <v>سكوتي رحيم</v>
      </c>
      <c r="D1015" s="1" t="str">
        <f>"خ سعدي روبروي داروخانه دکتر هدايت پ 510"</f>
        <v>خ سعدي روبروي داروخانه دکتر هدايت پ 510</v>
      </c>
      <c r="E1015" s="1" t="s">
        <v>1574</v>
      </c>
    </row>
    <row r="1016" spans="1:5">
      <c r="A1016" s="1" t="s">
        <v>1441</v>
      </c>
      <c r="B1016" s="1" t="str">
        <f>"رودان"</f>
        <v>رودان</v>
      </c>
      <c r="C1016" s="1" t="str">
        <f>"بيداني محمد/رودان"</f>
        <v>بيداني محمد/رودان</v>
      </c>
      <c r="D1016" s="1" t="str">
        <f>" بلوار بسيج ، روبروي بانک سپه ، فروشگاه مرواريد"</f>
        <v xml:space="preserve"> بلوار بسيج ، روبروي بانک سپه ، فروشگاه مرواريد</v>
      </c>
      <c r="E1016" s="1" t="s">
        <v>1574</v>
      </c>
    </row>
    <row r="1017" spans="1:5">
      <c r="A1017" s="1" t="s">
        <v>1441</v>
      </c>
      <c r="B1017" s="1" t="str">
        <f>"بندرلنگه"</f>
        <v>بندرلنگه</v>
      </c>
      <c r="C1017" s="1" t="str">
        <f>"رحيمي يونس"</f>
        <v>رحيمي يونس</v>
      </c>
      <c r="D1017" s="1" t="str">
        <f>"بندر لنگه - بلوار شهيد چمران - فروشگاه ايران زمين"</f>
        <v>بندر لنگه - بلوار شهيد چمران - فروشگاه ايران زمين</v>
      </c>
      <c r="E1017" s="1" t="s">
        <v>1574</v>
      </c>
    </row>
    <row r="1018" spans="1:5">
      <c r="A1018" s="1" t="s">
        <v>1441</v>
      </c>
      <c r="B1018" s="1" t="str">
        <f>"خاش"</f>
        <v>خاش</v>
      </c>
      <c r="C1018" s="1" t="str">
        <f>"چاليش ناصر"</f>
        <v>چاليش ناصر</v>
      </c>
      <c r="D1018" s="1" t="str">
        <f>"خ رودکي -رودکي 12 چهارراه سرداران -فروشگاه ابزار ولوازم ساختمان چاليش"</f>
        <v>خ رودکي -رودکي 12 چهارراه سرداران -فروشگاه ابزار ولوازم ساختمان چاليش</v>
      </c>
      <c r="E1018" s="1" t="s">
        <v>1574</v>
      </c>
    </row>
    <row r="1019" spans="1:5">
      <c r="A1019" s="1" t="s">
        <v>1441</v>
      </c>
      <c r="B1019" s="1" t="str">
        <f>"عجب شير"</f>
        <v>عجب شير</v>
      </c>
      <c r="C1019" s="1" t="str">
        <f>"محمدپور زينال"</f>
        <v>محمدپور زينال</v>
      </c>
      <c r="D1019" s="1" t="str">
        <f>"م بسيج"</f>
        <v>م بسيج</v>
      </c>
      <c r="E1019" s="1" t="s">
        <v>1574</v>
      </c>
    </row>
    <row r="1020" spans="1:5">
      <c r="A1020" s="1" t="s">
        <v>1441</v>
      </c>
      <c r="B1020" s="1" t="str">
        <f>"مراغه"</f>
        <v>مراغه</v>
      </c>
      <c r="C1020" s="1" t="str">
        <f>"باقرپور عليرضا"</f>
        <v>باقرپور عليرضا</v>
      </c>
      <c r="D1020" s="1" t="str">
        <f>"سه راه کوره خانه اول خ سعدي فروشگاه مرکزي استيل البرز"</f>
        <v>سه راه کوره خانه اول خ سعدي فروشگاه مرکزي استيل البرز</v>
      </c>
      <c r="E1020" s="1" t="s">
        <v>1574</v>
      </c>
    </row>
    <row r="1021" spans="1:5">
      <c r="A1021" s="1" t="s">
        <v>1441</v>
      </c>
      <c r="B1021" s="1" t="str">
        <f>"مراغه"</f>
        <v>مراغه</v>
      </c>
      <c r="C1021" s="1" t="str">
        <f>"باغباني حسن"</f>
        <v>باغباني حسن</v>
      </c>
      <c r="D1021" s="1" t="str">
        <f>"خ کاشاني روبروي دانشکده سما فروشگاه باغبان و پسران"</f>
        <v>خ کاشاني روبروي دانشکده سما فروشگاه باغبان و پسران</v>
      </c>
      <c r="E1021" s="1" t="s">
        <v>1574</v>
      </c>
    </row>
    <row r="1022" spans="1:5">
      <c r="A1022" s="1" t="s">
        <v>1441</v>
      </c>
      <c r="B1022" s="1" t="str">
        <f>"آذرشهر"</f>
        <v>آذرشهر</v>
      </c>
      <c r="C1022" s="1" t="str">
        <f>"نقي زاده محسن"</f>
        <v>نقي زاده محسن</v>
      </c>
      <c r="D1022" s="1" t="str">
        <f>"خ امام روبروي پاسا‍نقي زاده"</f>
        <v>خ امام روبروي پاسا‍نقي زاده</v>
      </c>
      <c r="E1022" s="1" t="s">
        <v>1574</v>
      </c>
    </row>
    <row r="1023" spans="1:5">
      <c r="A1023" s="1" t="s">
        <v>1441</v>
      </c>
      <c r="B1023" s="1" t="str">
        <f>"ورامين"</f>
        <v>ورامين</v>
      </c>
      <c r="C1023" s="1" t="str">
        <f>"ماهوتچي حسين"</f>
        <v>ماهوتچي حسين</v>
      </c>
      <c r="D1023" s="1" t="str">
        <f>"ميدان امام حسين جنب صندوق انصار پلاك 1 فروشگاه سينا كاشي"</f>
        <v>ميدان امام حسين جنب صندوق انصار پلاك 1 فروشگاه سينا كاشي</v>
      </c>
      <c r="E1023" s="1" t="s">
        <v>1574</v>
      </c>
    </row>
    <row r="1024" spans="1:5">
      <c r="A1024" s="1" t="s">
        <v>1441</v>
      </c>
      <c r="B1024" s="1" t="str">
        <f>"شهريار"</f>
        <v>شهريار</v>
      </c>
      <c r="C1024" s="1" t="str">
        <f>"حجازي محمد"</f>
        <v>حجازي محمد</v>
      </c>
      <c r="D1024" s="1" t="str">
        <f>"شهرک انديشه فاز 1 بين خ دهم و يازدهم شرقي پ 295"</f>
        <v>شهرک انديشه فاز 1 بين خ دهم و يازدهم شرقي پ 295</v>
      </c>
      <c r="E1024" s="1" t="s">
        <v>1574</v>
      </c>
    </row>
    <row r="1025" spans="1:5">
      <c r="A1025" s="1" t="s">
        <v>1441</v>
      </c>
      <c r="B1025" s="1" t="str">
        <f>"هشتگرد"</f>
        <v>هشتگرد</v>
      </c>
      <c r="C1025" s="1" t="str">
        <f>"پيشگاهي محمد"</f>
        <v>پيشگاهي محمد</v>
      </c>
      <c r="D1025" s="1" t="str">
        <f>"خ شهيد زارعي 50 متر بعد از آموزشگاه رانندگي شمت چپ فروشگاه ايران استيل"</f>
        <v>خ شهيد زارعي 50 متر بعد از آموزشگاه رانندگي شمت چپ فروشگاه ايران استيل</v>
      </c>
      <c r="E1025" s="1" t="s">
        <v>1574</v>
      </c>
    </row>
    <row r="1026" spans="1:5">
      <c r="A1026" s="1" t="s">
        <v>1441</v>
      </c>
      <c r="B1026" s="1" t="str">
        <f>"كرج"</f>
        <v>كرج</v>
      </c>
      <c r="C1026" s="1" t="str">
        <f>"غفراني محمد"</f>
        <v>غفراني محمد</v>
      </c>
      <c r="D1026" s="1" t="str">
        <f>"کلارک ايستگاه شهرداري"</f>
        <v>کلارک ايستگاه شهرداري</v>
      </c>
      <c r="E1026" s="1" t="s">
        <v>1574</v>
      </c>
    </row>
    <row r="1027" spans="1:5">
      <c r="A1027" s="1" t="s">
        <v>1441</v>
      </c>
      <c r="B1027" s="1" t="str">
        <f>"شهرري"</f>
        <v>شهرري</v>
      </c>
      <c r="C1027" s="1" t="str">
        <f>"دهقان مجيد"</f>
        <v>دهقان مجيد</v>
      </c>
      <c r="D1027" s="1" t="str">
        <f>"حسن آباد بلوار امام خميني جنب شهرداري سينا کاشي"</f>
        <v>حسن آباد بلوار امام خميني جنب شهرداري سينا کاشي</v>
      </c>
      <c r="E1027" s="1" t="s">
        <v>1574</v>
      </c>
    </row>
    <row r="1028" spans="1:5">
      <c r="A1028" s="1" t="s">
        <v>1441</v>
      </c>
      <c r="B1028" s="1" t="str">
        <f>"تاكستان"</f>
        <v>تاكستان</v>
      </c>
      <c r="C1028" s="1" t="str">
        <f>"طاهرخاني حميد رضا"</f>
        <v>طاهرخاني حميد رضا</v>
      </c>
      <c r="D1028" s="1" t="str">
        <f>"خ امام بالاتر از اداره ثبت اسناد روبروي خ هاشمي نژاد-فروشگاه سينا كاشي"</f>
        <v>خ امام بالاتر از اداره ثبت اسناد روبروي خ هاشمي نژاد-فروشگاه سينا كاشي</v>
      </c>
      <c r="E1028" s="1" t="s">
        <v>1574</v>
      </c>
    </row>
    <row r="1029" spans="1:5">
      <c r="A1029" s="1" t="s">
        <v>1441</v>
      </c>
      <c r="B1029" s="1" t="str">
        <f>"زنجان"</f>
        <v>زنجان</v>
      </c>
      <c r="C1029" s="1" t="str">
        <f>"خاتمي ناصر"</f>
        <v>خاتمي ناصر</v>
      </c>
      <c r="D1029" s="1" t="str">
        <f>"خ امام خميني م 15 خرداد پ 635"</f>
        <v>خ امام خميني م 15 خرداد پ 635</v>
      </c>
      <c r="E1029" s="1" t="s">
        <v>1574</v>
      </c>
    </row>
    <row r="1030" spans="1:5">
      <c r="A1030" s="1" t="s">
        <v>1441</v>
      </c>
      <c r="B1030" s="1" t="str">
        <f>"زنجان"</f>
        <v>زنجان</v>
      </c>
      <c r="C1030" s="1" t="str">
        <f>"شيرچي محمد"</f>
        <v>شيرچي محمد</v>
      </c>
      <c r="D1030" s="1" t="str">
        <f>"خ سعدي جنوبي روبروي مسجد آقا کاظم"</f>
        <v>خ سعدي جنوبي روبروي مسجد آقا کاظم</v>
      </c>
      <c r="E1030" s="1" t="s">
        <v>1574</v>
      </c>
    </row>
    <row r="1031" spans="1:5">
      <c r="A1031" s="1" t="s">
        <v>1441</v>
      </c>
      <c r="B1031" s="1" t="str">
        <f>"زنجان"</f>
        <v>زنجان</v>
      </c>
      <c r="C1031" s="1" t="str">
        <f>"حسني محمد علي"</f>
        <v>حسني محمد علي</v>
      </c>
      <c r="D1031" s="1" t="str">
        <f>"اسلام آباد خ 20 متري شهيد مدني پ 565 فروشگاه حسني"</f>
        <v>اسلام آباد خ 20 متري شهيد مدني پ 565 فروشگاه حسني</v>
      </c>
      <c r="E1031" s="1" t="s">
        <v>1574</v>
      </c>
    </row>
    <row r="1032" spans="1:5">
      <c r="A1032" s="1" t="s">
        <v>1441</v>
      </c>
      <c r="B1032" s="1" t="str">
        <f>"زنجان"</f>
        <v>زنجان</v>
      </c>
      <c r="C1032" s="1" t="str">
        <f>"جباري جواد"</f>
        <v>جباري جواد</v>
      </c>
      <c r="D1032" s="1" t="str">
        <f>"شرق انصاريه سي متري وليعصر روبروي نيک سازان يراق کابين البرز"</f>
        <v>شرق انصاريه سي متري وليعصر روبروي نيک سازان يراق کابين البرز</v>
      </c>
      <c r="E1032" s="1" t="s">
        <v>1574</v>
      </c>
    </row>
    <row r="1033" spans="1:5">
      <c r="A1033" s="1" t="s">
        <v>1441</v>
      </c>
      <c r="B1033" s="1" t="str">
        <f>"اسلامشهر"</f>
        <v>اسلامشهر</v>
      </c>
      <c r="C1033" s="1" t="str">
        <f>"اسدي نصرت"</f>
        <v>اسدي نصرت</v>
      </c>
      <c r="D1033" s="1" t="str">
        <f>"خيابان امام محمد باقر- نبش کوچه 39- پلاک 380-فروشگاه مرواريد"</f>
        <v>خيابان امام محمد باقر- نبش کوچه 39- پلاک 380-فروشگاه مرواريد</v>
      </c>
      <c r="E1033" s="1" t="s">
        <v>1574</v>
      </c>
    </row>
    <row r="1034" spans="1:5">
      <c r="A1034" s="1" t="s">
        <v>1441</v>
      </c>
      <c r="B1034" s="1" t="str">
        <f>"تهران"</f>
        <v>تهران</v>
      </c>
      <c r="C1034" s="1" t="str">
        <f>"بداقي علي اصغر"</f>
        <v>بداقي علي اصغر</v>
      </c>
      <c r="D1034" s="1" t="str">
        <f>"بلوار اشرفي اصفهاني -نرسيده به پل همت- فروشگاه بداقي"</f>
        <v>بلوار اشرفي اصفهاني -نرسيده به پل همت- فروشگاه بداقي</v>
      </c>
      <c r="E1034" s="1" t="s">
        <v>1574</v>
      </c>
    </row>
    <row r="1035" spans="1:5">
      <c r="A1035" s="1" t="s">
        <v>1441</v>
      </c>
      <c r="B1035" s="1" t="str">
        <f>"شهرري"</f>
        <v>شهرري</v>
      </c>
      <c r="C1035" s="1" t="str">
        <f>"قاسمي .شهرري حسين"</f>
        <v>قاسمي .شهرري حسين</v>
      </c>
      <c r="D1035" s="1" t="str">
        <f>"جاده خاوران- بعد از خاور شهر طوس پلاک12"</f>
        <v>جاده خاوران- بعد از خاور شهر طوس پلاک12</v>
      </c>
      <c r="E1035" s="1" t="s">
        <v>1574</v>
      </c>
    </row>
    <row r="1036" spans="1:5">
      <c r="A1036" s="1" t="s">
        <v>1441</v>
      </c>
      <c r="B1036" s="1" t="str">
        <f>"خ شيراز"</f>
        <v>خ شيراز</v>
      </c>
      <c r="C1036" s="1" t="str">
        <f>"همايوني هادي"</f>
        <v>همايوني هادي</v>
      </c>
      <c r="D1036" s="1" t="str">
        <f>"خ شيراز جنوبي پ 52 فروشگاه فرزانه"</f>
        <v>خ شيراز جنوبي پ 52 فروشگاه فرزانه</v>
      </c>
      <c r="E1036" s="1" t="s">
        <v>1574</v>
      </c>
    </row>
    <row r="1037" spans="1:5">
      <c r="A1037" s="1" t="s">
        <v>1441</v>
      </c>
      <c r="B1037" s="1" t="str">
        <f>"شرق"</f>
        <v>شرق</v>
      </c>
      <c r="C1037" s="1" t="str">
        <f>"نظري بهرام"</f>
        <v>نظري بهرام</v>
      </c>
      <c r="D1037" s="1" t="str">
        <f>"رسالت خ بني هاشم نبش كوچه سپيده پلاك 1023 فروشگاه بهرام"</f>
        <v>رسالت خ بني هاشم نبش كوچه سپيده پلاك 1023 فروشگاه بهرام</v>
      </c>
      <c r="E1037" s="1" t="s">
        <v>1574</v>
      </c>
    </row>
    <row r="1038" spans="1:5">
      <c r="A1038" s="1" t="s">
        <v>1441</v>
      </c>
      <c r="B1038" s="1" t="str">
        <f>"بازار"</f>
        <v>بازار</v>
      </c>
      <c r="C1038" s="1" t="str">
        <f>"مرادي حميد/تهران"</f>
        <v>مرادي حميد/تهران</v>
      </c>
      <c r="D1038" s="1" t="str">
        <f>"خ فردوسي جنوبي - خ سرهنگ سخائي جنب خ بهنيا پ 48 ساختمان 44 طبقه 3 واحد 7"</f>
        <v>خ فردوسي جنوبي - خ سرهنگ سخائي جنب خ بهنيا پ 48 ساختمان 44 طبقه 3 واحد 7</v>
      </c>
      <c r="E1038" s="1" t="s">
        <v>1574</v>
      </c>
    </row>
    <row r="1039" spans="1:5">
      <c r="A1039" s="1" t="s">
        <v>1441</v>
      </c>
      <c r="B1039" s="1" t="str">
        <f>"تهران"</f>
        <v>تهران</v>
      </c>
      <c r="C1039" s="1" t="str">
        <f>"قاسمي سپرو حسين"</f>
        <v>قاسمي سپرو حسين</v>
      </c>
      <c r="D1039" s="1" t="str">
        <f>"جاده خاوران-شهرک صنعتي خاوران-شهرک صنعتي خاوران-ميدان کوثر-خيابان ميخک-سوله ي شماره 2208"</f>
        <v>جاده خاوران-شهرک صنعتي خاوران-شهرک صنعتي خاوران-ميدان کوثر-خيابان ميخک-سوله ي شماره 2208</v>
      </c>
      <c r="E1039" s="1" t="s">
        <v>1574</v>
      </c>
    </row>
    <row r="1040" spans="1:5">
      <c r="A1040" s="1" t="s">
        <v>1441</v>
      </c>
      <c r="B1040" s="1" t="str">
        <f>"تهران"</f>
        <v>تهران</v>
      </c>
      <c r="C1040" s="1" t="str">
        <f>"عبدي مجتبي"</f>
        <v>عبدي مجتبي</v>
      </c>
      <c r="D1040" s="1" t="str">
        <f>"ستارخان ضلع جنوب شرقي پل ستارخان پ 502 بازرگاني عبدي"</f>
        <v>ستارخان ضلع جنوب شرقي پل ستارخان پ 502 بازرگاني عبدي</v>
      </c>
      <c r="E1040" s="1" t="s">
        <v>1574</v>
      </c>
    </row>
    <row r="1041" spans="1:5">
      <c r="A1041" s="1" t="s">
        <v>1441</v>
      </c>
      <c r="B1041" s="1" t="str">
        <f>"شهرري"</f>
        <v>شهرري</v>
      </c>
      <c r="C1041" s="1" t="str">
        <f>"شهبازي محمد ابراهيم"</f>
        <v>شهبازي محمد ابراهيم</v>
      </c>
      <c r="D1041" s="1" t="str">
        <f>"خ فدائيان اسلام نرسيده به سه راه ورامين 35 متري امام حسين چهارراه ديلمان پ 72"</f>
        <v>خ فدائيان اسلام نرسيده به سه راه ورامين 35 متري امام حسين چهارراه ديلمان پ 72</v>
      </c>
      <c r="E1041" s="1" t="s">
        <v>1574</v>
      </c>
    </row>
    <row r="1042" spans="1:5">
      <c r="A1042" s="1" t="s">
        <v>1441</v>
      </c>
      <c r="B1042" s="1" t="str">
        <f>"شرق"</f>
        <v>شرق</v>
      </c>
      <c r="C1042" s="1" t="str">
        <f>"حسني حاج عبدالقاسم"</f>
        <v>حسني حاج عبدالقاسم</v>
      </c>
      <c r="D1042" s="1" t="str">
        <f>"خ فرجام نرسيده به باقري جنب بانک سپه پ 201"</f>
        <v>خ فرجام نرسيده به باقري جنب بانک سپه پ 201</v>
      </c>
      <c r="E1042" s="1" t="s">
        <v>1574</v>
      </c>
    </row>
    <row r="1043" spans="1:5">
      <c r="A1043" s="1" t="s">
        <v>1441</v>
      </c>
      <c r="B1043" s="1" t="str">
        <f>"تهران"</f>
        <v>تهران</v>
      </c>
      <c r="C1043" s="1" t="str">
        <f>"جهاني كريم"</f>
        <v>جهاني كريم</v>
      </c>
      <c r="D1043" s="1" t="str">
        <f>"خاني اباد نو خ شهيد لطيفي پ 363"</f>
        <v>خاني اباد نو خ شهيد لطيفي پ 363</v>
      </c>
      <c r="E1043" s="1" t="s">
        <v>1574</v>
      </c>
    </row>
    <row r="1044" spans="1:5">
      <c r="A1044" s="1" t="s">
        <v>1441</v>
      </c>
      <c r="B1044" s="1" t="str">
        <f>"شرق"</f>
        <v>شرق</v>
      </c>
      <c r="C1044" s="1" t="str">
        <f>"توتوني اكبر"</f>
        <v>توتوني اكبر</v>
      </c>
      <c r="D1044" s="1" t="str">
        <f>"خ دماوند خ سازمان آب خ خورشيد ( سوم غربي ) پ 11"</f>
        <v>خ دماوند خ سازمان آب خ خورشيد ( سوم غربي ) پ 11</v>
      </c>
      <c r="E1044" s="1" t="s">
        <v>1574</v>
      </c>
    </row>
    <row r="1045" spans="1:5">
      <c r="A1045" s="1" t="s">
        <v>1441</v>
      </c>
      <c r="B1045" s="1" t="str">
        <f>"تهران"</f>
        <v>تهران</v>
      </c>
      <c r="C1045" s="1" t="str">
        <f>"پوررمضاني مسعود"</f>
        <v>پوررمضاني مسعود</v>
      </c>
      <c r="D1045" s="1" t="str">
        <f>"اشرفي اضفهاني بعد از سه راه باغ فيض جنب مسجد امام رضا مغازه چهارم فروشگاه همکار"</f>
        <v>اشرفي اضفهاني بعد از سه راه باغ فيض جنب مسجد امام رضا مغازه چهارم فروشگاه همکار</v>
      </c>
      <c r="E1045" s="1" t="s">
        <v>1574</v>
      </c>
    </row>
    <row r="1046" spans="1:5">
      <c r="A1046" s="1" t="s">
        <v>1441</v>
      </c>
      <c r="B1046" s="1" t="str">
        <f>"شرق"</f>
        <v>شرق</v>
      </c>
      <c r="C1046" s="1" t="str">
        <f>"آقاگلي محمد"</f>
        <v>آقاگلي محمد</v>
      </c>
      <c r="D1046" s="1" t="str">
        <f>"م رسالت خ هنگام بلوار دلاوران نرسيده به خ سراج پ 436"</f>
        <v>م رسالت خ هنگام بلوار دلاوران نرسيده به خ سراج پ 436</v>
      </c>
      <c r="E1046" s="1" t="s">
        <v>1574</v>
      </c>
    </row>
    <row r="1047" spans="1:5">
      <c r="A1047" s="1" t="s">
        <v>1441</v>
      </c>
      <c r="B1047" s="1" t="str">
        <f>"آق قلا"</f>
        <v>آق قلا</v>
      </c>
      <c r="C1047" s="1" t="str">
        <f>"واحدي فر نورمحمد"</f>
        <v>واحدي فر نورمحمد</v>
      </c>
      <c r="D1047" s="1" t="str">
        <f>"خ امام جنب هلال احمر پلاك 700"</f>
        <v>خ امام جنب هلال احمر پلاك 700</v>
      </c>
      <c r="E1047" s="1" t="s">
        <v>1574</v>
      </c>
    </row>
    <row r="1048" spans="1:5">
      <c r="A1048" s="1" t="s">
        <v>1441</v>
      </c>
      <c r="B1048" s="1" t="str">
        <f>"گنبد"</f>
        <v>گنبد</v>
      </c>
      <c r="C1048" s="1" t="str">
        <f>"طباخ احمدي  احمد"</f>
        <v>طباخ احمدي  احمد</v>
      </c>
      <c r="D1048" s="1" t="str">
        <f>"خ خيام شمالي چهارراه کسري پ 756"</f>
        <v>خ خيام شمالي چهارراه کسري پ 756</v>
      </c>
      <c r="E1048" s="1" t="s">
        <v>1574</v>
      </c>
    </row>
    <row r="1049" spans="1:5">
      <c r="A1049" s="1" t="s">
        <v>1441</v>
      </c>
      <c r="B1049" s="1" t="str">
        <f>"گرگان"</f>
        <v>گرگان</v>
      </c>
      <c r="C1049" s="1" t="str">
        <f>"كيقبادي ناصر"</f>
        <v>كيقبادي ناصر</v>
      </c>
      <c r="D1049" s="1" t="str">
        <f>"خ ايران مهر پائين جنب بانك ملي"</f>
        <v>خ ايران مهر پائين جنب بانك ملي</v>
      </c>
      <c r="E1049" s="1" t="s">
        <v>1574</v>
      </c>
    </row>
    <row r="1050" spans="1:5">
      <c r="A1050" s="1" t="s">
        <v>1441</v>
      </c>
      <c r="B1050" s="1" t="str">
        <f>"گرگان"</f>
        <v>گرگان</v>
      </c>
      <c r="C1050" s="1" t="str">
        <f>"باقري يوسف"</f>
        <v>باقري يوسف</v>
      </c>
      <c r="D1050" s="1" t="str">
        <f>"چهارراه خ شهدا روبروي بازار ماهي مجتمع آرش فروشگاه باقري"</f>
        <v>چهارراه خ شهدا روبروي بازار ماهي مجتمع آرش فروشگاه باقري</v>
      </c>
      <c r="E1050" s="1" t="s">
        <v>1574</v>
      </c>
    </row>
    <row r="1051" spans="1:5">
      <c r="A1051" s="1" t="s">
        <v>1441</v>
      </c>
      <c r="B1051" s="1" t="str">
        <f>"سقز"</f>
        <v>سقز</v>
      </c>
      <c r="C1051" s="1" t="str">
        <f>"نادرسرا رحيم"</f>
        <v>نادرسرا رحيم</v>
      </c>
      <c r="D1051" s="1" t="str">
        <f>"بلوار کردستان -سي متر بهد از پل عابر پياده -پ 507 -پخش لوله صداقت"</f>
        <v>بلوار کردستان -سي متر بهد از پل عابر پياده -پ 507 -پخش لوله صداقت</v>
      </c>
      <c r="E1051" s="1" t="s">
        <v>1574</v>
      </c>
    </row>
    <row r="1052" spans="1:5">
      <c r="A1052" s="1" t="s">
        <v>1441</v>
      </c>
      <c r="B1052" s="1" t="str">
        <f>"سقز"</f>
        <v>سقز</v>
      </c>
      <c r="C1052" s="1" t="str">
        <f>"شكري حبيب"</f>
        <v>شكري حبيب</v>
      </c>
      <c r="D1052" s="1" t="str">
        <f>"چهارراه آزادگان جنب بانک ملي"</f>
        <v>چهارراه آزادگان جنب بانک ملي</v>
      </c>
      <c r="E1052" s="1" t="s">
        <v>1574</v>
      </c>
    </row>
    <row r="1053" spans="1:5">
      <c r="A1053" s="1" t="s">
        <v>1441</v>
      </c>
      <c r="B1053" s="1" t="str">
        <f>"بيجار"</f>
        <v>بيجار</v>
      </c>
      <c r="C1053" s="1" t="str">
        <f>"رستمي ايرج"</f>
        <v>رستمي ايرج</v>
      </c>
      <c r="D1053" s="1" t="str">
        <f>"اول بازار-فروشگاه رستمي"</f>
        <v>اول بازار-فروشگاه رستمي</v>
      </c>
      <c r="E1053" s="1" t="s">
        <v>1574</v>
      </c>
    </row>
    <row r="1054" spans="1:5">
      <c r="A1054" s="1" t="s">
        <v>1441</v>
      </c>
      <c r="B1054" s="1" t="str">
        <f>"قروه"</f>
        <v>قروه</v>
      </c>
      <c r="C1054" s="1" t="str">
        <f>"مصطفايي شاهرخ"</f>
        <v>مصطفايي شاهرخ</v>
      </c>
      <c r="D1054" s="1" t="str">
        <f>"بلوار امام علي -نبش خ جمهوري اسلامي غربي -روبروي مسجد الزهرا"</f>
        <v>بلوار امام علي -نبش خ جمهوري اسلامي غربي -روبروي مسجد الزهرا</v>
      </c>
      <c r="E1054" s="1" t="s">
        <v>1574</v>
      </c>
    </row>
    <row r="1055" spans="1:5">
      <c r="A1055" s="1" t="s">
        <v>1441</v>
      </c>
      <c r="B1055" s="1" t="str">
        <f>"قروه"</f>
        <v>قروه</v>
      </c>
      <c r="C1055" s="1" t="str">
        <f>"بابا محمدي كريم"</f>
        <v>بابا محمدي كريم</v>
      </c>
      <c r="D1055" s="1" t="str">
        <f>" خ مدرس شرقي - مصالح فروش بابامحمدي"</f>
        <v xml:space="preserve"> خ مدرس شرقي - مصالح فروش بابامحمدي</v>
      </c>
      <c r="E1055" s="1" t="s">
        <v>1574</v>
      </c>
    </row>
    <row r="1056" spans="1:5">
      <c r="A1056" s="1" t="s">
        <v>1441</v>
      </c>
      <c r="B1056" s="1" t="str">
        <f>"سنندج"</f>
        <v>سنندج</v>
      </c>
      <c r="C1056" s="1" t="str">
        <f>"صالح پور- سعيدي"</f>
        <v>صالح پور- سعيدي</v>
      </c>
      <c r="D1056" s="1" t="str">
        <f>"خ حسن آباد روبروي بانک سپه"</f>
        <v>خ حسن آباد روبروي بانک سپه</v>
      </c>
      <c r="E1056" s="1" t="s">
        <v>1574</v>
      </c>
    </row>
    <row r="1057" spans="1:5">
      <c r="A1057" s="1" t="s">
        <v>1441</v>
      </c>
      <c r="B1057" s="1" t="str">
        <f>"اراك"</f>
        <v>اراك</v>
      </c>
      <c r="C1057" s="1" t="str">
        <f>"احمدپور بهروز"</f>
        <v>احمدپور بهروز</v>
      </c>
      <c r="D1057" s="1" t="str">
        <f>"خيابان ايت اله غفاري خيابان انوري جنوبي جنب پست بانک پلاک 7611"</f>
        <v>خيابان ايت اله غفاري خيابان انوري جنوبي جنب پست بانک پلاک 7611</v>
      </c>
      <c r="E1057" s="1" t="s">
        <v>1574</v>
      </c>
    </row>
    <row r="1058" spans="1:5">
      <c r="A1058" s="1" t="s">
        <v>1441</v>
      </c>
      <c r="B1058" s="1" t="str">
        <f>"ايلام"</f>
        <v>ايلام</v>
      </c>
      <c r="C1058" s="1" t="str">
        <f>"منصوري فرزاد"</f>
        <v>منصوري فرزاد</v>
      </c>
      <c r="D1058" s="1" t="str">
        <f>"خ 24 متري وليعصر جنب بلوار امام فروشگاه منصوري"</f>
        <v>خ 24 متري وليعصر جنب بلوار امام فروشگاه منصوري</v>
      </c>
      <c r="E1058" s="1" t="s">
        <v>1574</v>
      </c>
    </row>
    <row r="1059" spans="1:5">
      <c r="A1059" s="1" t="s">
        <v>1441</v>
      </c>
      <c r="B1059" s="1" t="str">
        <f>"سنقركليايي"</f>
        <v>سنقركليايي</v>
      </c>
      <c r="C1059" s="1" t="str">
        <f>"اعظمي غلامعلي"</f>
        <v>اعظمي غلامعلي</v>
      </c>
      <c r="D1059" s="1" t="str">
        <f>"سه راهي سيلو"</f>
        <v>سه راهي سيلو</v>
      </c>
      <c r="E1059" s="1" t="s">
        <v>1574</v>
      </c>
    </row>
    <row r="1060" spans="1:5">
      <c r="A1060" s="1" t="s">
        <v>1441</v>
      </c>
      <c r="B1060" s="1" t="str">
        <f>"سرپل ذهاب"</f>
        <v>سرپل ذهاب</v>
      </c>
      <c r="C1060" s="1" t="str">
        <f>"سيفي محمد نبي"</f>
        <v>سيفي محمد نبي</v>
      </c>
      <c r="D1060" s="1" t="str">
        <f>"خ احمدبن اسحاق روبروي مصلي فروشگاه سيفي"</f>
        <v>خ احمدبن اسحاق روبروي مصلي فروشگاه سيفي</v>
      </c>
      <c r="E1060" s="1" t="s">
        <v>1574</v>
      </c>
    </row>
    <row r="1061" spans="1:5">
      <c r="A1061" s="1" t="s">
        <v>1441</v>
      </c>
      <c r="B1061" s="1" t="str">
        <f>"جوانرود"</f>
        <v>جوانرود</v>
      </c>
      <c r="C1061" s="1" t="str">
        <f>"فخري بختيار"</f>
        <v>فخري بختيار</v>
      </c>
      <c r="D1061" s="1" t="str">
        <f>"م بسيج نبش خ حمزه فروشگاه فخري"</f>
        <v>م بسيج نبش خ حمزه فروشگاه فخري</v>
      </c>
      <c r="E1061" s="1" t="s">
        <v>1574</v>
      </c>
    </row>
    <row r="1062" spans="1:5">
      <c r="A1062" s="1" t="s">
        <v>1441</v>
      </c>
      <c r="B1062" s="1" t="str">
        <f>"كرمانشاه"</f>
        <v>كرمانشاه</v>
      </c>
      <c r="C1062" s="1" t="str">
        <f>"دارابي غلامرضا"</f>
        <v>دارابي غلامرضا</v>
      </c>
      <c r="D1062" s="1" t="str">
        <f>"خ شريعتي بالاتر از م شهناز مقابل چاپ کاشفي"</f>
        <v>خ شريعتي بالاتر از م شهناز مقابل چاپ کاشفي</v>
      </c>
      <c r="E1062" s="1" t="s">
        <v>1574</v>
      </c>
    </row>
    <row r="1063" spans="1:5">
      <c r="A1063" s="1" t="s">
        <v>1441</v>
      </c>
      <c r="B1063" s="1" t="str">
        <f>"كرمانشاه"</f>
        <v>كرمانشاه</v>
      </c>
      <c r="C1063" s="1" t="str">
        <f>"محبوبي بهرام"</f>
        <v>محبوبي بهرام</v>
      </c>
      <c r="D1063" s="1" t="str">
        <f>"بلوار شهيد بهشتي سه راه 22 بهمن جنب بانک سپه"</f>
        <v>بلوار شهيد بهشتي سه راه 22 بهمن جنب بانک سپه</v>
      </c>
      <c r="E1063" s="1" t="s">
        <v>1574</v>
      </c>
    </row>
    <row r="1064" spans="1:5">
      <c r="A1064" s="1" t="s">
        <v>1441</v>
      </c>
      <c r="B1064" s="1" t="str">
        <f>"همدان"</f>
        <v>همدان</v>
      </c>
      <c r="C1064" s="1" t="str">
        <f>"عظيمي شهرام"</f>
        <v>عظيمي شهرام</v>
      </c>
      <c r="D1064" s="1" t="str">
        <f>"جهاراه تختي ابتداي بلوار مدني روبروي بانک سپه"</f>
        <v>جهاراه تختي ابتداي بلوار مدني روبروي بانک سپه</v>
      </c>
      <c r="E1064" s="1" t="s">
        <v>1574</v>
      </c>
    </row>
    <row r="1065" spans="1:5">
      <c r="A1065" s="1" t="s">
        <v>1441</v>
      </c>
      <c r="B1065" s="1" t="str">
        <f>"ازنا"</f>
        <v>ازنا</v>
      </c>
      <c r="C1065" s="1" t="str">
        <f>"موسويان سيد حسين"</f>
        <v>موسويان سيد حسين</v>
      </c>
      <c r="D1065" s="1" t="str">
        <f>"روبروي پارک ملت -گالري بزرگ کاشي و سراميک موسويان"</f>
        <v>روبروي پارک ملت -گالري بزرگ کاشي و سراميک موسويان</v>
      </c>
      <c r="E1065" s="1" t="s">
        <v>1574</v>
      </c>
    </row>
    <row r="1066" spans="1:5">
      <c r="A1066" s="1" t="s">
        <v>1441</v>
      </c>
      <c r="B1066" s="1" t="str">
        <f>"خرم آباد"</f>
        <v>خرم آباد</v>
      </c>
      <c r="C1066" s="1" t="str">
        <f>"زيودار مصطفي"</f>
        <v>زيودار مصطفي</v>
      </c>
      <c r="D1066" s="1" t="str">
        <f>"خ وصال نبش کوچه اسماعيلي"</f>
        <v>خ وصال نبش کوچه اسماعيلي</v>
      </c>
      <c r="E1066" s="1" t="s">
        <v>1574</v>
      </c>
    </row>
    <row r="1067" spans="1:5">
      <c r="A1067" s="1" t="s">
        <v>1441</v>
      </c>
      <c r="B1067" s="1" t="str">
        <f>"زابل"</f>
        <v>زابل</v>
      </c>
      <c r="C1067" s="1" t="str">
        <f>"دل آرامي مهدي"</f>
        <v>دل آرامي مهدي</v>
      </c>
      <c r="D1067" s="1" t="str">
        <f>"خ هيرمند روبروي پارک غدير"</f>
        <v>خ هيرمند روبروي پارک غدير</v>
      </c>
      <c r="E1067" s="1" t="s">
        <v>1574</v>
      </c>
    </row>
    <row r="1068" spans="1:5">
      <c r="A1068" s="1" t="s">
        <v>1441</v>
      </c>
      <c r="B1068" s="1" t="str">
        <f>"بوكان"</f>
        <v>بوكان</v>
      </c>
      <c r="C1068" s="1" t="str">
        <f>"پرورش كمال"</f>
        <v>پرورش كمال</v>
      </c>
      <c r="D1068" s="1" t="str">
        <f>"خ شهيد چمران - نرسيده به مجسمه مادر - نمايشگاه لوكس بوكان"</f>
        <v>خ شهيد چمران - نرسيده به مجسمه مادر - نمايشگاه لوكس بوكان</v>
      </c>
      <c r="E1068" s="1" t="s">
        <v>1574</v>
      </c>
    </row>
    <row r="1069" spans="1:5">
      <c r="A1069" s="1" t="s">
        <v>1441</v>
      </c>
      <c r="B1069" s="1" t="str">
        <f>"پارس آباد"</f>
        <v>پارس آباد</v>
      </c>
      <c r="C1069" s="1" t="str">
        <f>"بهشتي شاهپور"</f>
        <v>بهشتي شاهپور</v>
      </c>
      <c r="D1069" s="1" t="str">
        <f>"خيابان شهيد بهشتي جنوبي ، روبروي اداره راه ، فروشگاه برادران بهشتي"</f>
        <v>خيابان شهيد بهشتي جنوبي ، روبروي اداره راه ، فروشگاه برادران بهشتي</v>
      </c>
      <c r="E1069" s="1" t="s">
        <v>1574</v>
      </c>
    </row>
    <row r="1070" spans="1:5">
      <c r="A1070" s="1" t="s">
        <v>1441</v>
      </c>
      <c r="B1070" s="1" t="str">
        <f>"پارس آباد"</f>
        <v>پارس آباد</v>
      </c>
      <c r="C1070" s="1" t="str">
        <f>"برادران غيبي محرم"</f>
        <v>برادران غيبي محرم</v>
      </c>
      <c r="D1070" s="1" t="str">
        <f>"خ امام روبروي ايران خودرو فروشگاه برادران غيبي"</f>
        <v>خ امام روبروي ايران خودرو فروشگاه برادران غيبي</v>
      </c>
      <c r="E1070" s="1" t="s">
        <v>1574</v>
      </c>
    </row>
    <row r="1071" spans="1:5">
      <c r="A1071" s="1" t="s">
        <v>1441</v>
      </c>
      <c r="B1071" s="1" t="str">
        <f>"پارس آباد"</f>
        <v>پارس آباد</v>
      </c>
      <c r="C1071" s="1" t="str">
        <f>"باقرزاده سعداله"</f>
        <v>باقرزاده سعداله</v>
      </c>
      <c r="D1071" s="1" t="str">
        <f>"خ شهيد رجائي - روبروي بانك ملي - شعبه رجائي"</f>
        <v>خ شهيد رجائي - روبروي بانك ملي - شعبه رجائي</v>
      </c>
      <c r="E1071" s="1" t="s">
        <v>1574</v>
      </c>
    </row>
    <row r="1072" spans="1:5">
      <c r="A1072" s="1" t="s">
        <v>1441</v>
      </c>
      <c r="B1072" s="1" t="str">
        <f>"خلخال"</f>
        <v>خلخال</v>
      </c>
      <c r="C1072" s="1" t="str">
        <f>"حكيم زاده مهران"</f>
        <v>حكيم زاده مهران</v>
      </c>
      <c r="D1072" s="1" t="str">
        <f>"بلوار 17 شهريور روبروي اداره آموزش و پرورش"</f>
        <v>بلوار 17 شهريور روبروي اداره آموزش و پرورش</v>
      </c>
      <c r="E1072" s="1" t="s">
        <v>1574</v>
      </c>
    </row>
    <row r="1073" spans="1:5">
      <c r="A1073" s="1" t="s">
        <v>1441</v>
      </c>
      <c r="B1073" s="1" t="str">
        <f>"خلخال"</f>
        <v>خلخال</v>
      </c>
      <c r="C1073" s="1" t="str">
        <f>"حمامي كامبيز"</f>
        <v>حمامي كامبيز</v>
      </c>
      <c r="D1073" s="1" t="str">
        <f>"نبش بازار ابوذر غفاري"</f>
        <v>نبش بازار ابوذر غفاري</v>
      </c>
      <c r="E1073" s="1" t="s">
        <v>1574</v>
      </c>
    </row>
    <row r="1074" spans="1:5">
      <c r="A1074" s="1" t="s">
        <v>1441</v>
      </c>
      <c r="B1074" s="1" t="str">
        <f>"اردبيل"</f>
        <v>اردبيل</v>
      </c>
      <c r="C1074" s="1" t="str">
        <f>"مستعد داوود"</f>
        <v>مستعد داوود</v>
      </c>
      <c r="D1074" s="1" t="str">
        <f>"خ باکري روبروي خ 13آبان نبش کوچه 29 فروشگاه مستعد"</f>
        <v>خ باکري روبروي خ 13آبان نبش کوچه 29 فروشگاه مستعد</v>
      </c>
      <c r="E1074" s="1" t="s">
        <v>1574</v>
      </c>
    </row>
    <row r="1075" spans="1:5">
      <c r="A1075" s="1" t="s">
        <v>1441</v>
      </c>
      <c r="B1075" s="1" t="str">
        <f>"پيرانشهر"</f>
        <v>پيرانشهر</v>
      </c>
      <c r="C1075" s="1" t="str">
        <f>"ميرزامحمدي كمال"</f>
        <v>ميرزامحمدي كمال</v>
      </c>
      <c r="D1075" s="1" t="str">
        <f>"خ بهشتي -چهار راه سعدي -پخش ميرزا محمدي"</f>
        <v>خ بهشتي -چهار راه سعدي -پخش ميرزا محمدي</v>
      </c>
      <c r="E1075" s="1" t="s">
        <v>1574</v>
      </c>
    </row>
    <row r="1076" spans="1:5">
      <c r="A1076" s="1" t="s">
        <v>1441</v>
      </c>
      <c r="B1076" s="1" t="str">
        <f>"سردشت"</f>
        <v>سردشت</v>
      </c>
      <c r="C1076" s="1" t="str">
        <f>"معروفي حسن"</f>
        <v>معروفي حسن</v>
      </c>
      <c r="D1076" s="1" t="str">
        <f>"خ سيدقدس فروشگاه کاويان"</f>
        <v>خ سيدقدس فروشگاه کاويان</v>
      </c>
      <c r="E1076" s="1" t="s">
        <v>1574</v>
      </c>
    </row>
    <row r="1077" spans="1:5">
      <c r="A1077" s="1" t="s">
        <v>1441</v>
      </c>
      <c r="B1077" s="1" t="str">
        <f>"بناب"</f>
        <v>بناب</v>
      </c>
      <c r="C1077" s="1" t="str">
        <f>"كشفي زين العابدين"</f>
        <v>كشفي زين العابدين</v>
      </c>
      <c r="D1077" s="1" t="str">
        <f>"خ امام م بسيج فروشگاه کشفي"</f>
        <v>خ امام م بسيج فروشگاه کشفي</v>
      </c>
      <c r="E1077" s="1" t="s">
        <v>1574</v>
      </c>
    </row>
    <row r="1078" spans="1:5">
      <c r="A1078" s="1" t="s">
        <v>1441</v>
      </c>
      <c r="B1078" s="1" t="str">
        <f>"انار"</f>
        <v>انار</v>
      </c>
      <c r="C1078" s="1" t="str">
        <f>"زارع محمد/انار رفزنجان"</f>
        <v>زارع محمد/انار رفزنجان</v>
      </c>
      <c r="D1078" s="1" t="str">
        <f>"خيابان شهدا- نبش کوچه دبستان مطهري- فروشگاه لوازم بهداشتي زارع"</f>
        <v>خيابان شهدا- نبش کوچه دبستان مطهري- فروشگاه لوازم بهداشتي زارع</v>
      </c>
      <c r="E1078" s="1" t="s">
        <v>1574</v>
      </c>
    </row>
    <row r="1079" spans="1:5">
      <c r="A1079" s="1" t="s">
        <v>1441</v>
      </c>
      <c r="B1079" s="1" t="str">
        <f>"رفسنجان"</f>
        <v>رفسنجان</v>
      </c>
      <c r="C1079" s="1" t="str">
        <f>"نوريزاده مهدي(شرکت چهل خانه)"</f>
        <v>نوريزاده مهدي(شرکت چهل خانه)</v>
      </c>
      <c r="D1079" s="1" t="str">
        <f>"ابتداي مطهري (دروازه قرآن ) فروشگاه نوري زاده"</f>
        <v>ابتداي مطهري (دروازه قرآن ) فروشگاه نوري زاده</v>
      </c>
      <c r="E1079" s="1" t="s">
        <v>1574</v>
      </c>
    </row>
    <row r="1080" spans="1:5">
      <c r="A1080" s="1" t="s">
        <v>1441</v>
      </c>
      <c r="B1080" s="1" t="str">
        <f>"يزد"</f>
        <v>يزد</v>
      </c>
      <c r="C1080" s="1" t="str">
        <f>"عيوقي ياسر"</f>
        <v>عيوقي ياسر</v>
      </c>
      <c r="D1080" s="1" t="str">
        <f>"بلوار جانبازان بعد از پمپ بنزين کوچه محمد جواد پارسايان فروشگاه عيوقي"</f>
        <v>بلوار جانبازان بعد از پمپ بنزين کوچه محمد جواد پارسايان فروشگاه عيوقي</v>
      </c>
      <c r="E1080" s="1" t="s">
        <v>1574</v>
      </c>
    </row>
    <row r="1081" spans="1:5">
      <c r="A1081" s="1" t="s">
        <v>1441</v>
      </c>
      <c r="B1081" s="1" t="str">
        <f>"كرمان"</f>
        <v>كرمان</v>
      </c>
      <c r="C1081" s="1" t="str">
        <f>"ملكي عباس"</f>
        <v>ملكي عباس</v>
      </c>
      <c r="D1081" s="1" t="str">
        <f>"اول خ مهديه مقابل مدرسه آيت الله کاشاني فروشگاه ملکي"</f>
        <v>اول خ مهديه مقابل مدرسه آيت الله کاشاني فروشگاه ملکي</v>
      </c>
      <c r="E1081" s="1" t="s">
        <v>1574</v>
      </c>
    </row>
    <row r="1082" spans="1:5">
      <c r="A1082" s="1" t="s">
        <v>1441</v>
      </c>
      <c r="B1082" s="1" t="str">
        <f>"قزوين"</f>
        <v>قزوين</v>
      </c>
      <c r="C1082" s="1" t="str">
        <f>"غلاميان حبيب"</f>
        <v>غلاميان حبيب</v>
      </c>
      <c r="D1082" s="1" t="str">
        <f>"بلوار اسد ابادي روبروي آهن فروشي هادي اصفهاني فروشگاه توحيد"</f>
        <v>بلوار اسد ابادي روبروي آهن فروشي هادي اصفهاني فروشگاه توحيد</v>
      </c>
      <c r="E1082" s="1" t="s">
        <v>1574</v>
      </c>
    </row>
    <row r="1083" spans="1:5">
      <c r="A1083" s="1" t="s">
        <v>1441</v>
      </c>
      <c r="B1083" s="1" t="str">
        <f>"ساوه"</f>
        <v>ساوه</v>
      </c>
      <c r="C1083" s="1" t="str">
        <f>"كردنژاد هادي"</f>
        <v>كردنژاد هادي</v>
      </c>
      <c r="D1083" s="1" t="str">
        <f>"خيابان اسلام ، نبش نواب ، پلاک 2 فروشگاه خزان فن"</f>
        <v>خيابان اسلام ، نبش نواب ، پلاک 2 فروشگاه خزان فن</v>
      </c>
      <c r="E1083" s="1" t="s">
        <v>1574</v>
      </c>
    </row>
    <row r="1084" spans="1:5">
      <c r="A1084" s="1" t="s">
        <v>1441</v>
      </c>
      <c r="B1084" s="1" t="str">
        <f>"سمنان"</f>
        <v>سمنان</v>
      </c>
      <c r="C1084" s="1" t="str">
        <f>"عموزاده پيمان"</f>
        <v>عموزاده پيمان</v>
      </c>
      <c r="D1084" s="1" t="str">
        <f>"ميدان مشاهير - ابتداي خ مشاهير - گالري کلاسيک"</f>
        <v>ميدان مشاهير - ابتداي خ مشاهير - گالري کلاسيک</v>
      </c>
      <c r="E1084" s="1" t="s">
        <v>1574</v>
      </c>
    </row>
    <row r="1085" spans="1:5">
      <c r="A1085" s="1" t="s">
        <v>1441</v>
      </c>
      <c r="B1085" s="1" t="str">
        <f>"سمنان"</f>
        <v>سمنان</v>
      </c>
      <c r="C1085" s="1" t="str">
        <f>"توسعه پارسيان"</f>
        <v>توسعه پارسيان</v>
      </c>
      <c r="D1085" s="1" t="str">
        <f>"خ فتح المبين م فتح پ 53 طبقه همکف"</f>
        <v>خ فتح المبين م فتح پ 53 طبقه همکف</v>
      </c>
      <c r="E1085" s="1" t="s">
        <v>1574</v>
      </c>
    </row>
    <row r="1086" spans="1:5">
      <c r="A1086" s="1" t="s">
        <v>1441</v>
      </c>
      <c r="B1086" s="1" t="str">
        <f>"تنكابن"</f>
        <v>تنكابن</v>
      </c>
      <c r="C1086" s="1" t="str">
        <f>"واعظي مهران"</f>
        <v>واعظي مهران</v>
      </c>
      <c r="D1086" s="1" t="str">
        <f>"خ جمهوري اسلامي -روبروي پمپ بنزين"</f>
        <v>خ جمهوري اسلامي -روبروي پمپ بنزين</v>
      </c>
      <c r="E1086" s="1" t="s">
        <v>1574</v>
      </c>
    </row>
    <row r="1087" spans="1:5">
      <c r="A1087" s="1" t="s">
        <v>1441</v>
      </c>
      <c r="B1087" s="1" t="str">
        <f>"رامسر"</f>
        <v>رامسر</v>
      </c>
      <c r="C1087" s="1" t="str">
        <f>"خالقي بهمن"</f>
        <v>خالقي بهمن</v>
      </c>
      <c r="D1087" s="1" t="str">
        <f>"خ استاد مطهري فروشگاه نويد"</f>
        <v>خ استاد مطهري فروشگاه نويد</v>
      </c>
      <c r="E1087" s="1" t="s">
        <v>1574</v>
      </c>
    </row>
    <row r="1088" spans="1:5">
      <c r="A1088" s="1" t="s">
        <v>1441</v>
      </c>
      <c r="B1088" s="1" t="str">
        <f>"نوشهر"</f>
        <v>نوشهر</v>
      </c>
      <c r="C1088" s="1" t="str">
        <f>"حسيني جواد"</f>
        <v>حسيني جواد</v>
      </c>
      <c r="D1088" s="1" t="str">
        <f>"بلوار امام رضا نبش خ باباطاهر گالري اپادانا"</f>
        <v>بلوار امام رضا نبش خ باباطاهر گالري اپادانا</v>
      </c>
      <c r="E1088" s="1" t="s">
        <v>1574</v>
      </c>
    </row>
    <row r="1089" spans="1:5">
      <c r="A1089" s="1" t="s">
        <v>1441</v>
      </c>
      <c r="B1089" s="1" t="str">
        <f>"بندر انزلي"</f>
        <v>بندر انزلي</v>
      </c>
      <c r="C1089" s="1" t="str">
        <f>"دژاكام محمدرضا"</f>
        <v>دژاكام محمدرضا</v>
      </c>
      <c r="D1089" s="1" t="str">
        <f>"خ ميرزا کوچک خان فروشگاه مرواريد"</f>
        <v>خ ميرزا کوچک خان فروشگاه مرواريد</v>
      </c>
      <c r="E1089" s="1" t="s">
        <v>1574</v>
      </c>
    </row>
    <row r="1090" spans="1:5">
      <c r="A1090" s="1" t="s">
        <v>1441</v>
      </c>
      <c r="B1090" s="1" t="str">
        <f>"بهشهر"</f>
        <v>بهشهر</v>
      </c>
      <c r="C1090" s="1" t="str">
        <f>"كياني علي اصغر"</f>
        <v>كياني علي اصغر</v>
      </c>
      <c r="D1090" s="1" t="str">
        <f>"سه راه آزادي شمالي- لوازم بهداشتي ساختماني کياني"</f>
        <v>سه راه آزادي شمالي- لوازم بهداشتي ساختماني کياني</v>
      </c>
      <c r="E1090" s="1" t="s">
        <v>1574</v>
      </c>
    </row>
    <row r="1091" spans="1:5">
      <c r="A1091" s="1" t="s">
        <v>1441</v>
      </c>
      <c r="B1091" s="1" t="str">
        <f>"لاهيجان"</f>
        <v>لاهيجان</v>
      </c>
      <c r="C1091" s="1" t="str">
        <f>"رهروان فرزين"</f>
        <v>رهروان فرزين</v>
      </c>
      <c r="D1091" s="1" t="str">
        <f>"خ انقلاب روبروي اداره برق فروشگاه رهروان"</f>
        <v>خ انقلاب روبروي اداره برق فروشگاه رهروان</v>
      </c>
      <c r="E1091" s="1" t="s">
        <v>1574</v>
      </c>
    </row>
    <row r="1092" spans="1:5">
      <c r="A1092" s="1" t="s">
        <v>1441</v>
      </c>
      <c r="B1092" s="1" t="str">
        <f>"سوادكوه"</f>
        <v>سوادكوه</v>
      </c>
      <c r="C1092" s="1" t="str">
        <f>"آلاشتي حميد رضا"</f>
        <v>آلاشتي حميد رضا</v>
      </c>
      <c r="D1092" s="1" t="str">
        <f>" زيراب _ فروشگاه آلاشتي"</f>
        <v xml:space="preserve"> زيراب _ فروشگاه آلاشتي</v>
      </c>
      <c r="E1092" s="1" t="s">
        <v>1574</v>
      </c>
    </row>
    <row r="1093" spans="1:5">
      <c r="A1093" s="1" t="s">
        <v>1441</v>
      </c>
      <c r="B1093" s="1" t="str">
        <f>"محمودآباد"</f>
        <v>محمودآباد</v>
      </c>
      <c r="C1093" s="1" t="str">
        <f>"غلامي محمود(جعفر)"</f>
        <v>غلامي محمود(جعفر)</v>
      </c>
      <c r="D1093" s="1" t="str">
        <f>"خ امام فروشگاه غلامي"</f>
        <v>خ امام فروشگاه غلامي</v>
      </c>
      <c r="E1093" s="1" t="s">
        <v>1574</v>
      </c>
    </row>
    <row r="1094" spans="1:5">
      <c r="A1094" s="1" t="s">
        <v>1441</v>
      </c>
      <c r="B1094" s="1" t="str">
        <f>"بابل"</f>
        <v>بابل</v>
      </c>
      <c r="C1094" s="1" t="str">
        <f>"خواجه زاده (بابل) امير حسين"</f>
        <v>خواجه زاده (بابل) امير حسين</v>
      </c>
      <c r="D1094" s="1" t="str">
        <f>"بلوار امام رضا جنب بانک ملت فرهنگ لوازم ساختماني خواجه زاده"</f>
        <v>بلوار امام رضا جنب بانک ملت فرهنگ لوازم ساختماني خواجه زاده</v>
      </c>
      <c r="E1094" s="1" t="s">
        <v>1574</v>
      </c>
    </row>
    <row r="1095" spans="1:5">
      <c r="A1095" s="1" t="s">
        <v>1441</v>
      </c>
      <c r="B1095" s="1" t="str">
        <f>"زاهدان"</f>
        <v>زاهدان</v>
      </c>
      <c r="C1095" s="1" t="str">
        <f>"جوکار جليل"</f>
        <v>جوکار جليل</v>
      </c>
      <c r="D1095" s="1" t="str">
        <f>"بلوارميرزارضا"</f>
        <v>بلوارميرزارضا</v>
      </c>
      <c r="E1095" s="1" t="s">
        <v>1574</v>
      </c>
    </row>
    <row r="1096" spans="1:5">
      <c r="A1096" s="1" t="s">
        <v>1441</v>
      </c>
      <c r="B1096" s="1" t="str">
        <f>"کرمان"</f>
        <v>کرمان</v>
      </c>
      <c r="C1096" s="1" t="str">
        <f>"صفوي عليرضا"</f>
        <v>صفوي عليرضا</v>
      </c>
      <c r="D1096" s="1" t="str">
        <f>"ميدان مالک اشتر"</f>
        <v>ميدان مالک اشتر</v>
      </c>
      <c r="E1096" s="1" t="s">
        <v>1574</v>
      </c>
    </row>
    <row r="1097" spans="1:5">
      <c r="A1097" s="1" t="s">
        <v>1441</v>
      </c>
      <c r="B1097" s="1" t="str">
        <f>"کرمان"</f>
        <v>کرمان</v>
      </c>
      <c r="C1097" s="1" t="str">
        <f>"خواجه زاده امين"</f>
        <v>خواجه زاده امين</v>
      </c>
      <c r="D1097" s="1" t="str">
        <f>"خ 24آذر جنب پمپ بنزين."</f>
        <v>خ 24آذر جنب پمپ بنزين.</v>
      </c>
      <c r="E1097" s="1" t="s">
        <v>1574</v>
      </c>
    </row>
    <row r="1098" spans="1:5">
      <c r="A1098" s="1" t="s">
        <v>1441</v>
      </c>
      <c r="B1098" s="1" t="str">
        <f>"اهواز"</f>
        <v>اهواز</v>
      </c>
      <c r="C1098" s="1" t="str">
        <f>"ظاهري داراب"</f>
        <v>ظاهري داراب</v>
      </c>
      <c r="D1098" s="1" t="str">
        <f>"گلستان خ فروردين بين اقبال و نصرت پ 473"</f>
        <v>گلستان خ فروردين بين اقبال و نصرت پ 473</v>
      </c>
      <c r="E1098" s="1" t="s">
        <v>1574</v>
      </c>
    </row>
    <row r="1099" spans="1:5">
      <c r="A1099" s="1" t="s">
        <v>1441</v>
      </c>
      <c r="B1099" s="1" t="str">
        <f>"مشهد"</f>
        <v>مشهد</v>
      </c>
      <c r="C1099" s="1" t="str">
        <f>"رسوليان جواد"</f>
        <v>رسوليان جواد</v>
      </c>
      <c r="D1099" s="1" t="str">
        <f>"کلاهدوز 47"</f>
        <v>کلاهدوز 47</v>
      </c>
      <c r="E1099" s="1" t="s">
        <v>1574</v>
      </c>
    </row>
    <row r="1100" spans="1:5">
      <c r="A1100" s="1" t="s">
        <v>1442</v>
      </c>
      <c r="B1100" s="1" t="s">
        <v>1444</v>
      </c>
      <c r="C1100" s="1" t="s">
        <v>1575</v>
      </c>
      <c r="D1100" s="1" t="s">
        <v>2087</v>
      </c>
      <c r="E1100" s="1" t="s">
        <v>2607</v>
      </c>
    </row>
    <row r="1101" spans="1:5">
      <c r="A1101" s="1" t="s">
        <v>1442</v>
      </c>
      <c r="B1101" s="1" t="s">
        <v>1445</v>
      </c>
      <c r="C1101" s="1" t="s">
        <v>1576</v>
      </c>
      <c r="D1101" s="1" t="s">
        <v>2088</v>
      </c>
      <c r="E1101" s="1" t="s">
        <v>2608</v>
      </c>
    </row>
    <row r="1102" spans="1:5">
      <c r="A1102" s="1" t="s">
        <v>1442</v>
      </c>
      <c r="B1102" s="1" t="s">
        <v>1446</v>
      </c>
      <c r="C1102" s="1" t="s">
        <v>1577</v>
      </c>
      <c r="D1102" s="1" t="s">
        <v>2089</v>
      </c>
      <c r="E1102" s="1" t="s">
        <v>2609</v>
      </c>
    </row>
    <row r="1103" spans="1:5">
      <c r="A1103" s="1" t="s">
        <v>1442</v>
      </c>
      <c r="B1103" s="1" t="s">
        <v>159</v>
      </c>
      <c r="C1103" s="1" t="s">
        <v>1578</v>
      </c>
      <c r="D1103" s="1" t="s">
        <v>2090</v>
      </c>
      <c r="E1103" s="1" t="s">
        <v>2610</v>
      </c>
    </row>
    <row r="1104" spans="1:5">
      <c r="A1104" s="1" t="s">
        <v>1442</v>
      </c>
      <c r="B1104" s="1" t="s">
        <v>1349</v>
      </c>
      <c r="C1104" s="1" t="s">
        <v>1579</v>
      </c>
      <c r="D1104" s="1" t="s">
        <v>2091</v>
      </c>
      <c r="E1104" s="1" t="s">
        <v>2611</v>
      </c>
    </row>
    <row r="1105" spans="1:5">
      <c r="A1105" s="1" t="s">
        <v>1442</v>
      </c>
      <c r="B1105" s="1" t="s">
        <v>1349</v>
      </c>
      <c r="C1105" s="1" t="s">
        <v>1580</v>
      </c>
      <c r="D1105" s="1" t="s">
        <v>2092</v>
      </c>
      <c r="E1105" s="1" t="s">
        <v>2612</v>
      </c>
    </row>
    <row r="1106" spans="1:5">
      <c r="A1106" s="1" t="s">
        <v>1442</v>
      </c>
      <c r="B1106" s="1" t="s">
        <v>1349</v>
      </c>
      <c r="C1106" s="1" t="s">
        <v>1581</v>
      </c>
      <c r="D1106" s="1" t="s">
        <v>2093</v>
      </c>
      <c r="E1106" s="1" t="s">
        <v>2613</v>
      </c>
    </row>
    <row r="1107" spans="1:5">
      <c r="A1107" s="1" t="s">
        <v>1442</v>
      </c>
      <c r="B1107" s="1" t="s">
        <v>1349</v>
      </c>
      <c r="C1107" s="1" t="s">
        <v>1582</v>
      </c>
      <c r="D1107" s="1" t="s">
        <v>2094</v>
      </c>
      <c r="E1107" s="1" t="s">
        <v>2614</v>
      </c>
    </row>
    <row r="1108" spans="1:5">
      <c r="A1108" s="1" t="s">
        <v>1442</v>
      </c>
      <c r="B1108" s="1" t="s">
        <v>1349</v>
      </c>
      <c r="C1108" s="1" t="s">
        <v>1583</v>
      </c>
      <c r="D1108" s="1" t="s">
        <v>2095</v>
      </c>
      <c r="E1108" s="1" t="s">
        <v>2615</v>
      </c>
    </row>
    <row r="1109" spans="1:5">
      <c r="A1109" s="1" t="s">
        <v>1442</v>
      </c>
      <c r="B1109" s="1" t="s">
        <v>1349</v>
      </c>
      <c r="C1109" s="1" t="s">
        <v>1584</v>
      </c>
      <c r="D1109" s="1" t="s">
        <v>2096</v>
      </c>
      <c r="E1109" s="1" t="s">
        <v>2616</v>
      </c>
    </row>
    <row r="1110" spans="1:5">
      <c r="A1110" s="1" t="s">
        <v>1442</v>
      </c>
      <c r="B1110" s="1" t="s">
        <v>1349</v>
      </c>
      <c r="C1110" s="1" t="s">
        <v>1585</v>
      </c>
      <c r="D1110" s="1" t="s">
        <v>2097</v>
      </c>
      <c r="E1110" s="1" t="s">
        <v>2617</v>
      </c>
    </row>
    <row r="1111" spans="1:5">
      <c r="A1111" s="1" t="s">
        <v>1442</v>
      </c>
      <c r="B1111" s="1" t="s">
        <v>1447</v>
      </c>
      <c r="C1111" s="1" t="s">
        <v>1586</v>
      </c>
      <c r="D1111" s="1" t="s">
        <v>2098</v>
      </c>
      <c r="E1111" s="1" t="s">
        <v>2618</v>
      </c>
    </row>
    <row r="1112" spans="1:5">
      <c r="A1112" s="1" t="s">
        <v>1442</v>
      </c>
      <c r="B1112" s="1" t="s">
        <v>184</v>
      </c>
      <c r="C1112" s="1" t="s">
        <v>1587</v>
      </c>
      <c r="D1112" s="1" t="s">
        <v>2099</v>
      </c>
      <c r="E1112" s="1" t="s">
        <v>2619</v>
      </c>
    </row>
    <row r="1113" spans="1:5">
      <c r="A1113" s="1" t="s">
        <v>1442</v>
      </c>
      <c r="B1113" s="1" t="s">
        <v>184</v>
      </c>
      <c r="C1113" s="1" t="s">
        <v>1588</v>
      </c>
      <c r="D1113" s="1" t="s">
        <v>2100</v>
      </c>
      <c r="E1113" s="1" t="s">
        <v>2620</v>
      </c>
    </row>
    <row r="1114" spans="1:5">
      <c r="A1114" s="1" t="s">
        <v>1442</v>
      </c>
      <c r="B1114" s="1" t="s">
        <v>188</v>
      </c>
      <c r="C1114" s="1" t="s">
        <v>1589</v>
      </c>
      <c r="D1114" s="1" t="s">
        <v>2101</v>
      </c>
      <c r="E1114" s="1" t="s">
        <v>2621</v>
      </c>
    </row>
    <row r="1115" spans="1:5">
      <c r="A1115" s="1" t="s">
        <v>1442</v>
      </c>
      <c r="B1115" s="1" t="s">
        <v>188</v>
      </c>
      <c r="C1115" s="1" t="s">
        <v>1590</v>
      </c>
      <c r="D1115" s="1" t="s">
        <v>2102</v>
      </c>
      <c r="E1115" s="1" t="s">
        <v>2622</v>
      </c>
    </row>
    <row r="1116" spans="1:5">
      <c r="A1116" s="1" t="s">
        <v>1442</v>
      </c>
      <c r="B1116" s="1" t="s">
        <v>192</v>
      </c>
      <c r="C1116" s="1" t="s">
        <v>1591</v>
      </c>
      <c r="D1116" s="1" t="s">
        <v>2103</v>
      </c>
      <c r="E1116" s="1" t="s">
        <v>2623</v>
      </c>
    </row>
    <row r="1117" spans="1:5">
      <c r="A1117" s="1" t="s">
        <v>1442</v>
      </c>
      <c r="B1117" s="1" t="s">
        <v>192</v>
      </c>
      <c r="C1117" s="1" t="s">
        <v>1592</v>
      </c>
      <c r="D1117" s="1" t="s">
        <v>2104</v>
      </c>
      <c r="E1117" s="1" t="s">
        <v>2624</v>
      </c>
    </row>
    <row r="1118" spans="1:5">
      <c r="A1118" s="1" t="s">
        <v>1442</v>
      </c>
      <c r="B1118" s="1" t="s">
        <v>203</v>
      </c>
      <c r="C1118" s="1" t="s">
        <v>1593</v>
      </c>
      <c r="D1118" s="1" t="s">
        <v>2105</v>
      </c>
      <c r="E1118" s="1" t="s">
        <v>2625</v>
      </c>
    </row>
    <row r="1119" spans="1:5">
      <c r="A1119" s="1" t="s">
        <v>1442</v>
      </c>
      <c r="B1119" s="1" t="s">
        <v>1448</v>
      </c>
      <c r="C1119" s="1" t="s">
        <v>1594</v>
      </c>
      <c r="D1119" s="1" t="s">
        <v>2106</v>
      </c>
      <c r="E1119" s="1" t="s">
        <v>2626</v>
      </c>
    </row>
    <row r="1120" spans="1:5">
      <c r="A1120" s="1" t="s">
        <v>1442</v>
      </c>
      <c r="B1120" s="1" t="s">
        <v>214</v>
      </c>
      <c r="C1120" s="1" t="s">
        <v>1595</v>
      </c>
      <c r="D1120" s="1" t="s">
        <v>2107</v>
      </c>
      <c r="E1120" s="1" t="s">
        <v>2627</v>
      </c>
    </row>
    <row r="1121" spans="1:5">
      <c r="A1121" s="1" t="s">
        <v>1442</v>
      </c>
      <c r="B1121" s="1" t="s">
        <v>214</v>
      </c>
      <c r="C1121" s="1" t="s">
        <v>1596</v>
      </c>
      <c r="D1121" s="1" t="s">
        <v>2108</v>
      </c>
      <c r="E1121" s="1" t="s">
        <v>2628</v>
      </c>
    </row>
    <row r="1122" spans="1:5">
      <c r="A1122" s="1" t="s">
        <v>1442</v>
      </c>
      <c r="B1122" s="1" t="s">
        <v>1449</v>
      </c>
      <c r="C1122" s="1" t="s">
        <v>1597</v>
      </c>
      <c r="D1122" s="1" t="s">
        <v>2109</v>
      </c>
      <c r="E1122" s="1" t="s">
        <v>2629</v>
      </c>
    </row>
    <row r="1123" spans="1:5">
      <c r="A1123" s="1" t="s">
        <v>1442</v>
      </c>
      <c r="B1123" s="1" t="s">
        <v>1450</v>
      </c>
      <c r="C1123" s="1" t="s">
        <v>1598</v>
      </c>
      <c r="D1123" s="1" t="s">
        <v>2110</v>
      </c>
      <c r="E1123" s="1" t="s">
        <v>2630</v>
      </c>
    </row>
    <row r="1124" spans="1:5">
      <c r="A1124" s="1" t="s">
        <v>1442</v>
      </c>
      <c r="B1124" s="1" t="s">
        <v>1351</v>
      </c>
      <c r="C1124" s="1" t="s">
        <v>1599</v>
      </c>
      <c r="D1124" s="1" t="s">
        <v>2111</v>
      </c>
      <c r="E1124" s="1" t="s">
        <v>2631</v>
      </c>
    </row>
    <row r="1125" spans="1:5">
      <c r="A1125" s="1" t="s">
        <v>1442</v>
      </c>
      <c r="B1125" s="1" t="s">
        <v>1351</v>
      </c>
      <c r="C1125" s="1" t="s">
        <v>1600</v>
      </c>
      <c r="D1125" s="1" t="s">
        <v>2112</v>
      </c>
      <c r="E1125" s="1" t="s">
        <v>2632</v>
      </c>
    </row>
    <row r="1126" spans="1:5">
      <c r="A1126" s="1" t="s">
        <v>1442</v>
      </c>
      <c r="B1126" s="1" t="s">
        <v>232</v>
      </c>
      <c r="C1126" s="1" t="s">
        <v>1601</v>
      </c>
      <c r="D1126" s="1" t="s">
        <v>2113</v>
      </c>
      <c r="E1126" s="1" t="s">
        <v>2633</v>
      </c>
    </row>
    <row r="1127" spans="1:5">
      <c r="A1127" s="1" t="s">
        <v>1442</v>
      </c>
      <c r="B1127" s="1" t="s">
        <v>232</v>
      </c>
      <c r="C1127" s="1" t="s">
        <v>1602</v>
      </c>
      <c r="D1127" s="1" t="s">
        <v>2114</v>
      </c>
      <c r="E1127" s="1" t="s">
        <v>2634</v>
      </c>
    </row>
    <row r="1128" spans="1:5">
      <c r="A1128" s="1" t="s">
        <v>1442</v>
      </c>
      <c r="B1128" s="1" t="s">
        <v>232</v>
      </c>
      <c r="C1128" s="1" t="s">
        <v>1603</v>
      </c>
      <c r="D1128" s="1" t="s">
        <v>2115</v>
      </c>
      <c r="E1128" s="1" t="s">
        <v>2635</v>
      </c>
    </row>
    <row r="1129" spans="1:5">
      <c r="A1129" s="1" t="s">
        <v>1442</v>
      </c>
      <c r="B1129" s="1" t="s">
        <v>243</v>
      </c>
      <c r="C1129" s="1" t="s">
        <v>1604</v>
      </c>
      <c r="D1129" s="1" t="s">
        <v>2116</v>
      </c>
      <c r="E1129" s="1" t="s">
        <v>2636</v>
      </c>
    </row>
    <row r="1130" spans="1:5">
      <c r="A1130" s="1" t="s">
        <v>1442</v>
      </c>
      <c r="B1130" s="1" t="s">
        <v>243</v>
      </c>
      <c r="C1130" s="1" t="s">
        <v>1605</v>
      </c>
      <c r="D1130" s="1" t="s">
        <v>2117</v>
      </c>
      <c r="E1130" s="1" t="s">
        <v>2637</v>
      </c>
    </row>
    <row r="1131" spans="1:5">
      <c r="A1131" s="1" t="s">
        <v>1442</v>
      </c>
      <c r="B1131" s="1" t="s">
        <v>1451</v>
      </c>
      <c r="C1131" s="1" t="s">
        <v>1606</v>
      </c>
      <c r="D1131" s="1" t="s">
        <v>2118</v>
      </c>
      <c r="E1131" s="1" t="s">
        <v>2638</v>
      </c>
    </row>
    <row r="1132" spans="1:5">
      <c r="A1132" s="1" t="s">
        <v>1442</v>
      </c>
      <c r="B1132" s="1" t="s">
        <v>1451</v>
      </c>
      <c r="C1132" s="1" t="s">
        <v>1607</v>
      </c>
      <c r="D1132" s="1" t="s">
        <v>2119</v>
      </c>
      <c r="E1132" s="1" t="s">
        <v>2639</v>
      </c>
    </row>
    <row r="1133" spans="1:5">
      <c r="A1133" s="1" t="s">
        <v>1442</v>
      </c>
      <c r="B1133" s="1" t="s">
        <v>251</v>
      </c>
      <c r="C1133" s="1" t="s">
        <v>1608</v>
      </c>
      <c r="D1133" s="1" t="s">
        <v>2120</v>
      </c>
      <c r="E1133" s="1" t="s">
        <v>2640</v>
      </c>
    </row>
    <row r="1134" spans="1:5">
      <c r="A1134" s="1" t="s">
        <v>1442</v>
      </c>
      <c r="B1134" s="1" t="s">
        <v>1350</v>
      </c>
      <c r="C1134" s="1" t="s">
        <v>1609</v>
      </c>
      <c r="D1134" s="1" t="s">
        <v>2121</v>
      </c>
      <c r="E1134" s="1" t="s">
        <v>2641</v>
      </c>
    </row>
    <row r="1135" spans="1:5">
      <c r="A1135" s="1" t="s">
        <v>1442</v>
      </c>
      <c r="B1135" s="1" t="s">
        <v>1452</v>
      </c>
      <c r="C1135" s="1" t="s">
        <v>1610</v>
      </c>
      <c r="D1135" s="1" t="s">
        <v>2122</v>
      </c>
      <c r="E1135" s="1" t="s">
        <v>2642</v>
      </c>
    </row>
    <row r="1136" spans="1:5">
      <c r="A1136" s="1" t="s">
        <v>1442</v>
      </c>
      <c r="B1136" s="1" t="s">
        <v>1453</v>
      </c>
      <c r="C1136" s="1" t="s">
        <v>1611</v>
      </c>
      <c r="D1136" s="1" t="s">
        <v>2123</v>
      </c>
      <c r="E1136" s="1" t="s">
        <v>2643</v>
      </c>
    </row>
    <row r="1137" spans="1:5">
      <c r="A1137" s="1" t="s">
        <v>1442</v>
      </c>
      <c r="B1137" s="1" t="s">
        <v>1453</v>
      </c>
      <c r="C1137" s="1" t="s">
        <v>1612</v>
      </c>
      <c r="D1137" s="1" t="s">
        <v>2124</v>
      </c>
      <c r="E1137" s="1" t="s">
        <v>2644</v>
      </c>
    </row>
    <row r="1138" spans="1:5">
      <c r="A1138" s="1" t="s">
        <v>1442</v>
      </c>
      <c r="B1138" s="1" t="s">
        <v>286</v>
      </c>
      <c r="C1138" s="1" t="s">
        <v>1613</v>
      </c>
      <c r="D1138" s="1" t="s">
        <v>2125</v>
      </c>
      <c r="E1138" s="1" t="s">
        <v>2645</v>
      </c>
    </row>
    <row r="1139" spans="1:5">
      <c r="A1139" s="1" t="s">
        <v>1442</v>
      </c>
      <c r="B1139" s="1" t="s">
        <v>290</v>
      </c>
      <c r="C1139" s="1" t="s">
        <v>1614</v>
      </c>
      <c r="D1139" s="1" t="s">
        <v>2126</v>
      </c>
      <c r="E1139" s="1" t="s">
        <v>2646</v>
      </c>
    </row>
    <row r="1140" spans="1:5">
      <c r="A1140" s="1" t="s">
        <v>1442</v>
      </c>
      <c r="B1140" s="1" t="s">
        <v>255</v>
      </c>
      <c r="C1140" s="1" t="s">
        <v>1615</v>
      </c>
      <c r="D1140" s="1" t="s">
        <v>2127</v>
      </c>
      <c r="E1140" s="1" t="s">
        <v>2647</v>
      </c>
    </row>
    <row r="1141" spans="1:5">
      <c r="A1141" s="1" t="s">
        <v>1442</v>
      </c>
      <c r="B1141" s="1" t="s">
        <v>259</v>
      </c>
      <c r="C1141" s="1" t="s">
        <v>1616</v>
      </c>
      <c r="D1141" s="1" t="s">
        <v>2128</v>
      </c>
      <c r="E1141" s="1" t="s">
        <v>2648</v>
      </c>
    </row>
    <row r="1142" spans="1:5">
      <c r="A1142" s="1" t="s">
        <v>1442</v>
      </c>
      <c r="B1142" s="1" t="s">
        <v>1353</v>
      </c>
      <c r="C1142" s="1" t="s">
        <v>1617</v>
      </c>
      <c r="D1142" s="1" t="s">
        <v>2129</v>
      </c>
      <c r="E1142" s="1" t="s">
        <v>2649</v>
      </c>
    </row>
    <row r="1143" spans="1:5">
      <c r="A1143" s="1" t="s">
        <v>1442</v>
      </c>
      <c r="B1143" s="1" t="s">
        <v>10</v>
      </c>
      <c r="C1143" s="1" t="s">
        <v>1618</v>
      </c>
      <c r="D1143" s="1" t="s">
        <v>2130</v>
      </c>
      <c r="E1143" s="1" t="s">
        <v>2650</v>
      </c>
    </row>
    <row r="1144" spans="1:5">
      <c r="A1144" s="1" t="s">
        <v>1442</v>
      </c>
      <c r="B1144" s="1" t="s">
        <v>10</v>
      </c>
      <c r="C1144" s="1" t="s">
        <v>1619</v>
      </c>
      <c r="D1144" s="1" t="s">
        <v>2131</v>
      </c>
      <c r="E1144" s="1" t="s">
        <v>2651</v>
      </c>
    </row>
    <row r="1145" spans="1:5">
      <c r="A1145" s="1" t="s">
        <v>1442</v>
      </c>
      <c r="B1145" s="1" t="s">
        <v>10</v>
      </c>
      <c r="C1145" s="1" t="s">
        <v>1620</v>
      </c>
      <c r="D1145" s="1" t="s">
        <v>2132</v>
      </c>
      <c r="E1145" s="1" t="s">
        <v>2652</v>
      </c>
    </row>
    <row r="1146" spans="1:5">
      <c r="A1146" s="1" t="s">
        <v>1442</v>
      </c>
      <c r="B1146" s="1" t="s">
        <v>10</v>
      </c>
      <c r="C1146" s="1" t="s">
        <v>1621</v>
      </c>
      <c r="D1146" s="1" t="s">
        <v>2133</v>
      </c>
      <c r="E1146" s="1" t="s">
        <v>2653</v>
      </c>
    </row>
    <row r="1147" spans="1:5">
      <c r="A1147" s="1" t="s">
        <v>1442</v>
      </c>
      <c r="B1147" s="1" t="s">
        <v>10</v>
      </c>
      <c r="C1147" s="1" t="s">
        <v>1622</v>
      </c>
      <c r="D1147" s="1" t="s">
        <v>2134</v>
      </c>
      <c r="E1147" s="1">
        <v>5614793571</v>
      </c>
    </row>
    <row r="1148" spans="1:5">
      <c r="A1148" s="1" t="s">
        <v>1442</v>
      </c>
      <c r="B1148" s="1" t="s">
        <v>1454</v>
      </c>
      <c r="C1148" s="1" t="s">
        <v>1623</v>
      </c>
      <c r="D1148" s="1" t="s">
        <v>2135</v>
      </c>
      <c r="E1148" s="1" t="s">
        <v>2654</v>
      </c>
    </row>
    <row r="1149" spans="1:5">
      <c r="A1149" s="1" t="s">
        <v>1442</v>
      </c>
      <c r="B1149" s="1" t="s">
        <v>21</v>
      </c>
      <c r="C1149" s="1" t="s">
        <v>1624</v>
      </c>
      <c r="D1149" s="1" t="s">
        <v>2136</v>
      </c>
      <c r="E1149" s="1" t="s">
        <v>2655</v>
      </c>
    </row>
    <row r="1150" spans="1:5">
      <c r="A1150" s="1" t="s">
        <v>1442</v>
      </c>
      <c r="B1150" s="1" t="s">
        <v>21</v>
      </c>
      <c r="C1150" s="1" t="s">
        <v>1625</v>
      </c>
      <c r="D1150" s="1" t="s">
        <v>2137</v>
      </c>
      <c r="E1150" s="1" t="s">
        <v>2655</v>
      </c>
    </row>
    <row r="1151" spans="1:5">
      <c r="A1151" s="1" t="s">
        <v>1442</v>
      </c>
      <c r="B1151" s="1" t="s">
        <v>21</v>
      </c>
      <c r="C1151" s="1" t="s">
        <v>1626</v>
      </c>
      <c r="D1151" s="1" t="s">
        <v>2138</v>
      </c>
      <c r="E1151" s="1" t="s">
        <v>2656</v>
      </c>
    </row>
    <row r="1152" spans="1:5">
      <c r="A1152" s="1" t="s">
        <v>1442</v>
      </c>
      <c r="B1152" s="1" t="s">
        <v>25</v>
      </c>
      <c r="C1152" s="1" t="s">
        <v>1627</v>
      </c>
      <c r="D1152" s="1" t="s">
        <v>2139</v>
      </c>
      <c r="E1152" s="1" t="s">
        <v>2657</v>
      </c>
    </row>
    <row r="1153" spans="1:5">
      <c r="A1153" s="1" t="s">
        <v>1442</v>
      </c>
      <c r="B1153" s="1" t="s">
        <v>25</v>
      </c>
      <c r="C1153" s="1" t="s">
        <v>1628</v>
      </c>
      <c r="D1153" s="1" t="s">
        <v>2140</v>
      </c>
      <c r="E1153" s="1" t="s">
        <v>2658</v>
      </c>
    </row>
    <row r="1154" spans="1:5">
      <c r="A1154" s="1" t="s">
        <v>1442</v>
      </c>
      <c r="B1154" s="1" t="s">
        <v>1455</v>
      </c>
      <c r="C1154" s="1" t="s">
        <v>1629</v>
      </c>
      <c r="D1154" s="1" t="s">
        <v>2141</v>
      </c>
      <c r="E1154" s="1" t="s">
        <v>2659</v>
      </c>
    </row>
    <row r="1155" spans="1:5">
      <c r="A1155" s="1" t="s">
        <v>1442</v>
      </c>
      <c r="B1155" s="1" t="s">
        <v>1456</v>
      </c>
      <c r="C1155" s="1" t="s">
        <v>1630</v>
      </c>
      <c r="D1155" s="1" t="s">
        <v>2142</v>
      </c>
      <c r="E1155" s="1" t="s">
        <v>2660</v>
      </c>
    </row>
    <row r="1156" spans="1:5">
      <c r="A1156" s="1" t="s">
        <v>1442</v>
      </c>
      <c r="B1156" s="1" t="s">
        <v>1457</v>
      </c>
      <c r="C1156" s="1" t="s">
        <v>1631</v>
      </c>
      <c r="D1156" s="1" t="s">
        <v>2143</v>
      </c>
      <c r="E1156" s="1" t="s">
        <v>2661</v>
      </c>
    </row>
    <row r="1157" spans="1:5">
      <c r="A1157" s="1" t="s">
        <v>1442</v>
      </c>
      <c r="B1157" s="1" t="s">
        <v>1458</v>
      </c>
      <c r="C1157" s="1" t="s">
        <v>1632</v>
      </c>
      <c r="D1157" s="1" t="s">
        <v>2144</v>
      </c>
      <c r="E1157" s="1" t="s">
        <v>2662</v>
      </c>
    </row>
    <row r="1158" spans="1:5">
      <c r="A1158" s="1" t="s">
        <v>1442</v>
      </c>
      <c r="B1158" s="1" t="s">
        <v>3</v>
      </c>
      <c r="C1158" s="1" t="s">
        <v>1633</v>
      </c>
      <c r="D1158" s="1" t="s">
        <v>2145</v>
      </c>
      <c r="E1158" s="1" t="s">
        <v>2663</v>
      </c>
    </row>
    <row r="1159" spans="1:5">
      <c r="A1159" s="1" t="s">
        <v>1442</v>
      </c>
      <c r="B1159" s="1" t="s">
        <v>3</v>
      </c>
      <c r="C1159" s="1" t="s">
        <v>1634</v>
      </c>
      <c r="D1159" s="1" t="s">
        <v>2146</v>
      </c>
      <c r="E1159" s="1" t="s">
        <v>1574</v>
      </c>
    </row>
    <row r="1160" spans="1:5">
      <c r="A1160" s="1" t="s">
        <v>1442</v>
      </c>
      <c r="B1160" s="1" t="s">
        <v>3</v>
      </c>
      <c r="C1160" s="1" t="s">
        <v>1635</v>
      </c>
      <c r="D1160" s="1" t="s">
        <v>2147</v>
      </c>
      <c r="E1160" s="1" t="s">
        <v>2664</v>
      </c>
    </row>
    <row r="1161" spans="1:5">
      <c r="A1161" s="1" t="s">
        <v>1442</v>
      </c>
      <c r="B1161" s="1" t="s">
        <v>3</v>
      </c>
      <c r="C1161" s="1" t="s">
        <v>1636</v>
      </c>
      <c r="D1161" s="1" t="s">
        <v>2148</v>
      </c>
      <c r="E1161" s="1" t="s">
        <v>2665</v>
      </c>
    </row>
    <row r="1162" spans="1:5">
      <c r="A1162" s="1" t="s">
        <v>1442</v>
      </c>
      <c r="B1162" s="1" t="s">
        <v>3</v>
      </c>
      <c r="C1162" s="1" t="s">
        <v>1637</v>
      </c>
      <c r="D1162" s="1" t="s">
        <v>2149</v>
      </c>
      <c r="E1162" s="1" t="s">
        <v>2666</v>
      </c>
    </row>
    <row r="1163" spans="1:5">
      <c r="A1163" s="1" t="s">
        <v>1442</v>
      </c>
      <c r="B1163" s="1" t="s">
        <v>3</v>
      </c>
      <c r="C1163" s="1" t="s">
        <v>1638</v>
      </c>
      <c r="D1163" s="1" t="s">
        <v>2150</v>
      </c>
      <c r="E1163" s="1" t="s">
        <v>1574</v>
      </c>
    </row>
    <row r="1164" spans="1:5">
      <c r="A1164" s="1" t="s">
        <v>1442</v>
      </c>
      <c r="B1164" s="1" t="s">
        <v>3</v>
      </c>
      <c r="C1164" s="1" t="s">
        <v>1639</v>
      </c>
      <c r="D1164" s="1" t="s">
        <v>2151</v>
      </c>
      <c r="E1164" s="1" t="s">
        <v>2667</v>
      </c>
    </row>
    <row r="1165" spans="1:5">
      <c r="A1165" s="1" t="s">
        <v>1442</v>
      </c>
      <c r="B1165" s="1" t="s">
        <v>3</v>
      </c>
      <c r="C1165" s="1" t="s">
        <v>1640</v>
      </c>
      <c r="D1165" s="1" t="s">
        <v>2152</v>
      </c>
      <c r="E1165" s="1" t="s">
        <v>2668</v>
      </c>
    </row>
    <row r="1166" spans="1:5">
      <c r="A1166" s="1" t="s">
        <v>1442</v>
      </c>
      <c r="B1166" s="1" t="s">
        <v>3</v>
      </c>
      <c r="C1166" s="1" t="s">
        <v>1641</v>
      </c>
      <c r="D1166" s="1" t="s">
        <v>2153</v>
      </c>
      <c r="E1166" s="1" t="s">
        <v>2669</v>
      </c>
    </row>
    <row r="1167" spans="1:5">
      <c r="A1167" s="1" t="s">
        <v>1442</v>
      </c>
      <c r="B1167" s="1" t="s">
        <v>3</v>
      </c>
      <c r="C1167" s="1" t="s">
        <v>1642</v>
      </c>
      <c r="D1167" s="1" t="s">
        <v>2154</v>
      </c>
      <c r="E1167" s="1" t="s">
        <v>2670</v>
      </c>
    </row>
    <row r="1168" spans="1:5">
      <c r="A1168" s="1" t="s">
        <v>1442</v>
      </c>
      <c r="B1168" s="1" t="s">
        <v>3</v>
      </c>
      <c r="C1168" s="1" t="s">
        <v>1643</v>
      </c>
      <c r="D1168" s="1" t="s">
        <v>2155</v>
      </c>
      <c r="E1168" s="1" t="s">
        <v>2671</v>
      </c>
    </row>
    <row r="1169" spans="1:5">
      <c r="A1169" s="1" t="s">
        <v>1442</v>
      </c>
      <c r="B1169" s="1" t="s">
        <v>1459</v>
      </c>
      <c r="C1169" s="1" t="s">
        <v>1644</v>
      </c>
      <c r="D1169" s="1" t="s">
        <v>2156</v>
      </c>
      <c r="E1169" s="1" t="s">
        <v>1574</v>
      </c>
    </row>
    <row r="1170" spans="1:5">
      <c r="A1170" s="1" t="s">
        <v>1442</v>
      </c>
      <c r="B1170" s="1" t="s">
        <v>1460</v>
      </c>
      <c r="C1170" s="1" t="s">
        <v>1645</v>
      </c>
      <c r="D1170" s="1" t="s">
        <v>2157</v>
      </c>
      <c r="E1170" s="1" t="s">
        <v>2672</v>
      </c>
    </row>
    <row r="1171" spans="1:5">
      <c r="A1171" s="1" t="s">
        <v>1442</v>
      </c>
      <c r="B1171" s="1" t="s">
        <v>1461</v>
      </c>
      <c r="C1171" s="1" t="s">
        <v>1646</v>
      </c>
      <c r="D1171" s="1" t="s">
        <v>2158</v>
      </c>
      <c r="E1171" s="1" t="s">
        <v>2673</v>
      </c>
    </row>
    <row r="1172" spans="1:5">
      <c r="A1172" s="1" t="s">
        <v>1442</v>
      </c>
      <c r="B1172" s="1" t="s">
        <v>1462</v>
      </c>
      <c r="C1172" s="1" t="s">
        <v>1647</v>
      </c>
      <c r="D1172" s="1" t="s">
        <v>2159</v>
      </c>
      <c r="E1172" s="1" t="s">
        <v>2674</v>
      </c>
    </row>
    <row r="1173" spans="1:5">
      <c r="A1173" s="1" t="s">
        <v>1442</v>
      </c>
      <c r="B1173" s="1" t="s">
        <v>1463</v>
      </c>
      <c r="C1173" s="1" t="s">
        <v>1648</v>
      </c>
      <c r="D1173" s="1" t="s">
        <v>2160</v>
      </c>
      <c r="E1173" s="1" t="s">
        <v>1574</v>
      </c>
    </row>
    <row r="1174" spans="1:5">
      <c r="A1174" s="1" t="s">
        <v>1442</v>
      </c>
      <c r="B1174" s="1" t="s">
        <v>1464</v>
      </c>
      <c r="C1174" s="1" t="s">
        <v>1649</v>
      </c>
      <c r="D1174" s="1" t="s">
        <v>2161</v>
      </c>
      <c r="E1174" s="1" t="s">
        <v>2675</v>
      </c>
    </row>
    <row r="1175" spans="1:5">
      <c r="A1175" s="1" t="s">
        <v>1442</v>
      </c>
      <c r="B1175" s="1" t="s">
        <v>1464</v>
      </c>
      <c r="C1175" s="1" t="s">
        <v>1650</v>
      </c>
      <c r="D1175" s="1" t="s">
        <v>2162</v>
      </c>
      <c r="E1175" s="1" t="s">
        <v>2676</v>
      </c>
    </row>
    <row r="1176" spans="1:5">
      <c r="A1176" s="1" t="s">
        <v>1442</v>
      </c>
      <c r="B1176" s="1" t="s">
        <v>1465</v>
      </c>
      <c r="C1176" s="1" t="s">
        <v>1651</v>
      </c>
      <c r="D1176" s="1" t="s">
        <v>2163</v>
      </c>
      <c r="E1176" s="1" t="s">
        <v>2677</v>
      </c>
    </row>
    <row r="1177" spans="1:5">
      <c r="A1177" s="1" t="s">
        <v>1442</v>
      </c>
      <c r="B1177" s="1" t="s">
        <v>67</v>
      </c>
      <c r="C1177" s="1" t="s">
        <v>1652</v>
      </c>
      <c r="D1177" s="1" t="s">
        <v>2164</v>
      </c>
      <c r="E1177" s="1" t="s">
        <v>2678</v>
      </c>
    </row>
    <row r="1178" spans="1:5">
      <c r="A1178" s="1" t="s">
        <v>1442</v>
      </c>
      <c r="B1178" s="1" t="s">
        <v>67</v>
      </c>
      <c r="C1178" s="1" t="s">
        <v>1653</v>
      </c>
      <c r="D1178" s="1" t="s">
        <v>2165</v>
      </c>
      <c r="E1178" s="1" t="s">
        <v>2679</v>
      </c>
    </row>
    <row r="1179" spans="1:5">
      <c r="A1179" s="1" t="s">
        <v>1442</v>
      </c>
      <c r="B1179" s="1" t="s">
        <v>71</v>
      </c>
      <c r="C1179" s="1" t="s">
        <v>1654</v>
      </c>
      <c r="D1179" s="1" t="s">
        <v>2166</v>
      </c>
      <c r="E1179" s="1" t="s">
        <v>2680</v>
      </c>
    </row>
    <row r="1180" spans="1:5">
      <c r="A1180" s="1" t="s">
        <v>1442</v>
      </c>
      <c r="B1180" s="1" t="s">
        <v>71</v>
      </c>
      <c r="C1180" s="1" t="s">
        <v>1655</v>
      </c>
      <c r="D1180" s="1" t="s">
        <v>2167</v>
      </c>
      <c r="E1180" s="1" t="s">
        <v>2681</v>
      </c>
    </row>
    <row r="1181" spans="1:5">
      <c r="A1181" s="1" t="s">
        <v>1442</v>
      </c>
      <c r="B1181" s="1" t="s">
        <v>1466</v>
      </c>
      <c r="C1181" s="1" t="s">
        <v>1656</v>
      </c>
      <c r="D1181" s="1" t="s">
        <v>2168</v>
      </c>
      <c r="E1181" s="1" t="s">
        <v>2682</v>
      </c>
    </row>
    <row r="1182" spans="1:5">
      <c r="A1182" s="1" t="s">
        <v>1442</v>
      </c>
      <c r="B1182" s="1" t="s">
        <v>75</v>
      </c>
      <c r="C1182" s="1" t="s">
        <v>1657</v>
      </c>
      <c r="D1182" s="1" t="s">
        <v>2169</v>
      </c>
      <c r="E1182" s="1" t="s">
        <v>2683</v>
      </c>
    </row>
    <row r="1183" spans="1:5">
      <c r="A1183" s="1" t="s">
        <v>1442</v>
      </c>
      <c r="B1183" s="1" t="s">
        <v>75</v>
      </c>
      <c r="C1183" s="1" t="s">
        <v>1658</v>
      </c>
      <c r="D1183" s="1" t="s">
        <v>2170</v>
      </c>
      <c r="E1183" s="1" t="s">
        <v>2684</v>
      </c>
    </row>
    <row r="1184" spans="1:5">
      <c r="A1184" s="1" t="s">
        <v>1442</v>
      </c>
      <c r="B1184" s="1" t="s">
        <v>1467</v>
      </c>
      <c r="C1184" s="1" t="s">
        <v>1659</v>
      </c>
      <c r="D1184" s="1" t="s">
        <v>2171</v>
      </c>
      <c r="E1184" s="1" t="s">
        <v>2685</v>
      </c>
    </row>
    <row r="1185" spans="1:5">
      <c r="A1185" s="1" t="s">
        <v>1442</v>
      </c>
      <c r="B1185" s="1" t="s">
        <v>1468</v>
      </c>
      <c r="C1185" s="1" t="s">
        <v>1660</v>
      </c>
      <c r="D1185" s="1" t="s">
        <v>2172</v>
      </c>
      <c r="E1185" s="1" t="s">
        <v>2686</v>
      </c>
    </row>
    <row r="1186" spans="1:5">
      <c r="A1186" s="1" t="s">
        <v>1442</v>
      </c>
      <c r="B1186" s="1" t="s">
        <v>79</v>
      </c>
      <c r="C1186" s="1" t="s">
        <v>1661</v>
      </c>
      <c r="D1186" s="1" t="s">
        <v>2173</v>
      </c>
      <c r="E1186" s="1" t="s">
        <v>2687</v>
      </c>
    </row>
    <row r="1187" spans="1:5">
      <c r="A1187" s="1" t="s">
        <v>1442</v>
      </c>
      <c r="B1187" s="1" t="s">
        <v>1469</v>
      </c>
      <c r="C1187" s="1" t="s">
        <v>1662</v>
      </c>
      <c r="D1187" s="1" t="s">
        <v>2174</v>
      </c>
      <c r="E1187" s="1" t="s">
        <v>2688</v>
      </c>
    </row>
    <row r="1188" spans="1:5">
      <c r="A1188" s="1" t="s">
        <v>1442</v>
      </c>
      <c r="B1188" s="1" t="s">
        <v>1470</v>
      </c>
      <c r="C1188" s="1" t="s">
        <v>1663</v>
      </c>
      <c r="D1188" s="1" t="s">
        <v>2175</v>
      </c>
      <c r="E1188" s="1" t="s">
        <v>2689</v>
      </c>
    </row>
    <row r="1189" spans="1:5">
      <c r="A1189" s="1" t="s">
        <v>1442</v>
      </c>
      <c r="B1189" s="1" t="s">
        <v>1471</v>
      </c>
      <c r="C1189" s="1" t="s">
        <v>1664</v>
      </c>
      <c r="D1189" s="1" t="s">
        <v>2176</v>
      </c>
      <c r="E1189" s="1" t="s">
        <v>2690</v>
      </c>
    </row>
    <row r="1190" spans="1:5">
      <c r="A1190" s="1" t="s">
        <v>1442</v>
      </c>
      <c r="B1190" s="1" t="s">
        <v>1472</v>
      </c>
      <c r="C1190" s="1" t="s">
        <v>1665</v>
      </c>
      <c r="D1190" s="1" t="s">
        <v>2177</v>
      </c>
      <c r="E1190" s="1" t="s">
        <v>2691</v>
      </c>
    </row>
    <row r="1191" spans="1:5">
      <c r="A1191" s="1" t="s">
        <v>1442</v>
      </c>
      <c r="B1191" s="1" t="s">
        <v>91</v>
      </c>
      <c r="C1191" s="1" t="s">
        <v>1666</v>
      </c>
      <c r="D1191" s="1" t="s">
        <v>2178</v>
      </c>
      <c r="E1191" s="1" t="s">
        <v>2692</v>
      </c>
    </row>
    <row r="1192" spans="1:5">
      <c r="A1192" s="1" t="s">
        <v>1442</v>
      </c>
      <c r="B1192" s="1" t="s">
        <v>91</v>
      </c>
      <c r="C1192" s="1" t="s">
        <v>1667</v>
      </c>
      <c r="D1192" s="1" t="s">
        <v>2179</v>
      </c>
      <c r="E1192" s="1" t="s">
        <v>2693</v>
      </c>
    </row>
    <row r="1193" spans="1:5">
      <c r="A1193" s="1" t="s">
        <v>1442</v>
      </c>
      <c r="B1193" s="1" t="s">
        <v>1473</v>
      </c>
      <c r="C1193" s="1" t="s">
        <v>1668</v>
      </c>
      <c r="D1193" s="1" t="s">
        <v>2180</v>
      </c>
      <c r="E1193" s="1" t="s">
        <v>2694</v>
      </c>
    </row>
    <row r="1194" spans="1:5">
      <c r="A1194" s="1" t="s">
        <v>1442</v>
      </c>
      <c r="B1194" s="1" t="s">
        <v>1474</v>
      </c>
      <c r="C1194" s="1" t="s">
        <v>1669</v>
      </c>
      <c r="D1194" s="1" t="s">
        <v>2181</v>
      </c>
      <c r="E1194" s="1" t="s">
        <v>2695</v>
      </c>
    </row>
    <row r="1195" spans="1:5">
      <c r="A1195" s="1" t="s">
        <v>1442</v>
      </c>
      <c r="B1195" s="1" t="s">
        <v>1474</v>
      </c>
      <c r="C1195" s="1" t="s">
        <v>1670</v>
      </c>
      <c r="D1195" s="1" t="s">
        <v>2182</v>
      </c>
      <c r="E1195" s="1" t="s">
        <v>2696</v>
      </c>
    </row>
    <row r="1196" spans="1:5">
      <c r="A1196" s="1" t="s">
        <v>1442</v>
      </c>
      <c r="B1196" s="1" t="s">
        <v>1474</v>
      </c>
      <c r="C1196" s="1" t="s">
        <v>1671</v>
      </c>
      <c r="D1196" s="1" t="s">
        <v>2183</v>
      </c>
      <c r="E1196" s="1" t="s">
        <v>2697</v>
      </c>
    </row>
    <row r="1197" spans="1:5">
      <c r="A1197" s="1" t="s">
        <v>1442</v>
      </c>
      <c r="B1197" s="1" t="s">
        <v>1474</v>
      </c>
      <c r="C1197" s="1" t="s">
        <v>1672</v>
      </c>
      <c r="D1197" s="1" t="s">
        <v>2184</v>
      </c>
      <c r="E1197" s="1" t="s">
        <v>2698</v>
      </c>
    </row>
    <row r="1198" spans="1:5">
      <c r="A1198" s="1" t="s">
        <v>1442</v>
      </c>
      <c r="B1198" s="1" t="s">
        <v>1474</v>
      </c>
      <c r="C1198" s="1" t="s">
        <v>1673</v>
      </c>
      <c r="D1198" s="1" t="s">
        <v>2185</v>
      </c>
      <c r="E1198" s="1" t="s">
        <v>2699</v>
      </c>
    </row>
    <row r="1199" spans="1:5">
      <c r="A1199" s="1" t="s">
        <v>1442</v>
      </c>
      <c r="B1199" s="1" t="s">
        <v>1474</v>
      </c>
      <c r="C1199" s="1" t="s">
        <v>1674</v>
      </c>
      <c r="D1199" s="1" t="s">
        <v>2186</v>
      </c>
      <c r="E1199" s="1" t="s">
        <v>2700</v>
      </c>
    </row>
    <row r="1200" spans="1:5">
      <c r="A1200" s="1" t="s">
        <v>1442</v>
      </c>
      <c r="B1200" s="1" t="s">
        <v>1474</v>
      </c>
      <c r="C1200" s="1" t="s">
        <v>1675</v>
      </c>
      <c r="D1200" s="1" t="s">
        <v>2187</v>
      </c>
      <c r="E1200" s="1" t="s">
        <v>1574</v>
      </c>
    </row>
    <row r="1201" spans="1:5">
      <c r="A1201" s="1" t="s">
        <v>1442</v>
      </c>
      <c r="B1201" s="1" t="s">
        <v>1474</v>
      </c>
      <c r="C1201" s="1" t="s">
        <v>1676</v>
      </c>
      <c r="D1201" s="1" t="s">
        <v>2188</v>
      </c>
      <c r="E1201" s="1" t="s">
        <v>2701</v>
      </c>
    </row>
    <row r="1202" spans="1:5">
      <c r="A1202" s="1" t="s">
        <v>1442</v>
      </c>
      <c r="B1202" s="1" t="s">
        <v>1474</v>
      </c>
      <c r="C1202" s="1" t="s">
        <v>1677</v>
      </c>
      <c r="D1202" s="1" t="s">
        <v>2189</v>
      </c>
      <c r="E1202" s="1" t="s">
        <v>2702</v>
      </c>
    </row>
    <row r="1203" spans="1:5">
      <c r="A1203" s="1" t="s">
        <v>1442</v>
      </c>
      <c r="B1203" s="1" t="s">
        <v>1474</v>
      </c>
      <c r="C1203" s="1" t="s">
        <v>1678</v>
      </c>
      <c r="D1203" s="1" t="s">
        <v>2190</v>
      </c>
      <c r="E1203" s="1" t="s">
        <v>2703</v>
      </c>
    </row>
    <row r="1204" spans="1:5">
      <c r="A1204" s="1" t="s">
        <v>1442</v>
      </c>
      <c r="B1204" s="1" t="s">
        <v>126</v>
      </c>
      <c r="C1204" s="1" t="s">
        <v>1679</v>
      </c>
      <c r="D1204" s="1" t="s">
        <v>2191</v>
      </c>
      <c r="E1204" s="1" t="s">
        <v>2704</v>
      </c>
    </row>
    <row r="1205" spans="1:5">
      <c r="A1205" s="1" t="s">
        <v>1442</v>
      </c>
      <c r="B1205" s="1" t="s">
        <v>130</v>
      </c>
      <c r="C1205" s="1" t="s">
        <v>1680</v>
      </c>
      <c r="D1205" s="1" t="s">
        <v>2192</v>
      </c>
      <c r="E1205" s="1" t="s">
        <v>2705</v>
      </c>
    </row>
    <row r="1206" spans="1:5">
      <c r="A1206" s="1" t="s">
        <v>1442</v>
      </c>
      <c r="B1206" s="1" t="s">
        <v>130</v>
      </c>
      <c r="C1206" s="1" t="s">
        <v>1681</v>
      </c>
      <c r="D1206" s="1" t="s">
        <v>2193</v>
      </c>
      <c r="E1206" s="1">
        <v>8433383324</v>
      </c>
    </row>
    <row r="1207" spans="1:5">
      <c r="A1207" s="1" t="s">
        <v>1442</v>
      </c>
      <c r="B1207" s="1" t="s">
        <v>130</v>
      </c>
      <c r="C1207" s="1" t="s">
        <v>1682</v>
      </c>
      <c r="D1207" s="1" t="s">
        <v>2194</v>
      </c>
      <c r="E1207" s="1" t="s">
        <v>2706</v>
      </c>
    </row>
    <row r="1208" spans="1:5">
      <c r="A1208" s="1" t="s">
        <v>1442</v>
      </c>
      <c r="B1208" s="1" t="s">
        <v>1475</v>
      </c>
      <c r="C1208" s="1" t="s">
        <v>1683</v>
      </c>
      <c r="D1208" s="1" t="s">
        <v>2195</v>
      </c>
      <c r="E1208" s="1" t="s">
        <v>2707</v>
      </c>
    </row>
    <row r="1209" spans="1:5">
      <c r="A1209" s="1" t="s">
        <v>1442</v>
      </c>
      <c r="B1209" s="1" t="s">
        <v>145</v>
      </c>
      <c r="C1209" s="1" t="s">
        <v>1684</v>
      </c>
      <c r="D1209" s="1" t="s">
        <v>2196</v>
      </c>
      <c r="E1209" s="1" t="s">
        <v>2708</v>
      </c>
    </row>
    <row r="1210" spans="1:5">
      <c r="A1210" s="1" t="s">
        <v>1442</v>
      </c>
      <c r="B1210" s="1" t="s">
        <v>1476</v>
      </c>
      <c r="C1210" s="1" t="s">
        <v>1685</v>
      </c>
      <c r="D1210" s="1" t="s">
        <v>2197</v>
      </c>
      <c r="E1210" s="1" t="s">
        <v>2709</v>
      </c>
    </row>
    <row r="1211" spans="1:5">
      <c r="A1211" s="1" t="s">
        <v>1442</v>
      </c>
      <c r="B1211" s="1" t="s">
        <v>1477</v>
      </c>
      <c r="C1211" s="1" t="s">
        <v>1686</v>
      </c>
      <c r="D1211" s="1" t="s">
        <v>2198</v>
      </c>
      <c r="E1211" s="1" t="s">
        <v>2710</v>
      </c>
    </row>
    <row r="1212" spans="1:5">
      <c r="A1212" s="1" t="s">
        <v>1442</v>
      </c>
      <c r="B1212" s="1" t="s">
        <v>1478</v>
      </c>
      <c r="C1212" s="1" t="s">
        <v>1687</v>
      </c>
      <c r="D1212" s="1" t="s">
        <v>2199</v>
      </c>
      <c r="E1212" s="1" t="s">
        <v>2711</v>
      </c>
    </row>
    <row r="1213" spans="1:5">
      <c r="A1213" s="1" t="s">
        <v>1442</v>
      </c>
      <c r="B1213" s="1" t="s">
        <v>297</v>
      </c>
      <c r="C1213" s="1" t="s">
        <v>1688</v>
      </c>
      <c r="D1213" s="1" t="s">
        <v>2200</v>
      </c>
      <c r="E1213" s="1" t="s">
        <v>2712</v>
      </c>
    </row>
    <row r="1214" spans="1:5">
      <c r="A1214" s="1" t="s">
        <v>1442</v>
      </c>
      <c r="B1214" s="1" t="s">
        <v>1479</v>
      </c>
      <c r="C1214" s="1" t="s">
        <v>1689</v>
      </c>
      <c r="D1214" s="1" t="s">
        <v>2201</v>
      </c>
      <c r="E1214" s="1" t="s">
        <v>2713</v>
      </c>
    </row>
    <row r="1215" spans="1:5">
      <c r="A1215" s="1" t="s">
        <v>1442</v>
      </c>
      <c r="B1215" s="1" t="s">
        <v>315</v>
      </c>
      <c r="C1215" s="1" t="s">
        <v>1690</v>
      </c>
      <c r="D1215" s="1" t="s">
        <v>2202</v>
      </c>
      <c r="E1215" s="1" t="s">
        <v>2714</v>
      </c>
    </row>
    <row r="1216" spans="1:5">
      <c r="A1216" s="1" t="s">
        <v>1442</v>
      </c>
      <c r="B1216" s="1" t="s">
        <v>1480</v>
      </c>
      <c r="C1216" s="1" t="s">
        <v>1691</v>
      </c>
      <c r="D1216" s="1" t="s">
        <v>2203</v>
      </c>
      <c r="E1216" s="1">
        <v>2176374751</v>
      </c>
    </row>
    <row r="1217" spans="1:5">
      <c r="A1217" s="1" t="s">
        <v>1442</v>
      </c>
      <c r="B1217" s="1" t="s">
        <v>1481</v>
      </c>
      <c r="C1217" s="1" t="s">
        <v>1692</v>
      </c>
      <c r="D1217" s="1" t="s">
        <v>2204</v>
      </c>
      <c r="E1217" s="1">
        <v>2176279586</v>
      </c>
    </row>
    <row r="1218" spans="1:5">
      <c r="A1218" s="1" t="s">
        <v>1442</v>
      </c>
      <c r="B1218" s="1" t="s">
        <v>4</v>
      </c>
      <c r="C1218" s="1" t="s">
        <v>1693</v>
      </c>
      <c r="D1218" s="1" t="s">
        <v>2205</v>
      </c>
      <c r="E1218" s="1">
        <v>2126311926</v>
      </c>
    </row>
    <row r="1219" spans="1:5">
      <c r="A1219" s="1" t="s">
        <v>1442</v>
      </c>
      <c r="B1219" s="1" t="s">
        <v>4</v>
      </c>
      <c r="C1219" s="1" t="s">
        <v>1694</v>
      </c>
      <c r="D1219" s="1" t="s">
        <v>2206</v>
      </c>
      <c r="E1219" s="1" t="s">
        <v>1574</v>
      </c>
    </row>
    <row r="1220" spans="1:5">
      <c r="A1220" s="1" t="s">
        <v>1442</v>
      </c>
      <c r="B1220" s="1" t="s">
        <v>4</v>
      </c>
      <c r="C1220" s="1" t="s">
        <v>1695</v>
      </c>
      <c r="D1220" s="1" t="s">
        <v>2207</v>
      </c>
      <c r="E1220" s="1" t="s">
        <v>1574</v>
      </c>
    </row>
    <row r="1221" spans="1:5">
      <c r="A1221" s="1" t="s">
        <v>1442</v>
      </c>
      <c r="B1221" s="1" t="s">
        <v>4</v>
      </c>
      <c r="C1221" s="1" t="s">
        <v>1696</v>
      </c>
      <c r="D1221" s="1" t="s">
        <v>2208</v>
      </c>
      <c r="E1221" s="1">
        <v>2176274337</v>
      </c>
    </row>
    <row r="1222" spans="1:5">
      <c r="A1222" s="1" t="s">
        <v>1442</v>
      </c>
      <c r="B1222" s="1" t="s">
        <v>4</v>
      </c>
      <c r="C1222" s="1" t="s">
        <v>1697</v>
      </c>
      <c r="D1222" s="1" t="s">
        <v>2209</v>
      </c>
      <c r="E1222" s="1">
        <v>2133544540</v>
      </c>
    </row>
    <row r="1223" spans="1:5">
      <c r="A1223" s="1" t="s">
        <v>1442</v>
      </c>
      <c r="B1223" s="1" t="s">
        <v>4</v>
      </c>
      <c r="C1223" s="1" t="s">
        <v>1698</v>
      </c>
      <c r="D1223" s="1" t="s">
        <v>2210</v>
      </c>
      <c r="E1223" s="1">
        <v>2155837899</v>
      </c>
    </row>
    <row r="1224" spans="1:5">
      <c r="A1224" s="1" t="s">
        <v>1442</v>
      </c>
      <c r="B1224" s="1" t="s">
        <v>4</v>
      </c>
      <c r="C1224" s="1" t="s">
        <v>1699</v>
      </c>
      <c r="D1224" s="1" t="s">
        <v>2211</v>
      </c>
      <c r="E1224" s="1">
        <v>2166969800</v>
      </c>
    </row>
    <row r="1225" spans="1:5">
      <c r="A1225" s="1" t="s">
        <v>1442</v>
      </c>
      <c r="B1225" s="1" t="s">
        <v>4</v>
      </c>
      <c r="C1225" s="1" t="s">
        <v>1700</v>
      </c>
      <c r="D1225" s="1" t="s">
        <v>2212</v>
      </c>
      <c r="E1225" s="1">
        <v>2155577341</v>
      </c>
    </row>
    <row r="1226" spans="1:5">
      <c r="A1226" s="1" t="s">
        <v>1442</v>
      </c>
      <c r="B1226" s="1" t="s">
        <v>4</v>
      </c>
      <c r="C1226" s="1" t="s">
        <v>1701</v>
      </c>
      <c r="D1226" s="1" t="s">
        <v>2213</v>
      </c>
      <c r="E1226" s="1">
        <v>2155416501</v>
      </c>
    </row>
    <row r="1227" spans="1:5">
      <c r="A1227" s="1" t="s">
        <v>1442</v>
      </c>
      <c r="B1227" s="1" t="s">
        <v>4</v>
      </c>
      <c r="C1227" s="1" t="s">
        <v>1702</v>
      </c>
      <c r="D1227" s="1" t="s">
        <v>2214</v>
      </c>
      <c r="E1227" s="1">
        <v>2177579112</v>
      </c>
    </row>
    <row r="1228" spans="1:5">
      <c r="A1228" s="1" t="s">
        <v>1442</v>
      </c>
      <c r="B1228" s="1" t="s">
        <v>4</v>
      </c>
      <c r="C1228" s="1" t="s">
        <v>1703</v>
      </c>
      <c r="D1228" s="1" t="s">
        <v>2215</v>
      </c>
      <c r="E1228" s="1">
        <v>2144518123</v>
      </c>
    </row>
    <row r="1229" spans="1:5">
      <c r="A1229" s="1" t="s">
        <v>1442</v>
      </c>
      <c r="B1229" s="1" t="s">
        <v>4</v>
      </c>
      <c r="C1229" s="1" t="s">
        <v>1704</v>
      </c>
      <c r="D1229" s="1" t="s">
        <v>2216</v>
      </c>
      <c r="E1229" s="1">
        <v>2155439342</v>
      </c>
    </row>
    <row r="1230" spans="1:5">
      <c r="A1230" s="1" t="s">
        <v>1442</v>
      </c>
      <c r="B1230" s="1" t="s">
        <v>4</v>
      </c>
      <c r="C1230" s="1" t="s">
        <v>1705</v>
      </c>
      <c r="D1230" s="1" t="s">
        <v>2217</v>
      </c>
      <c r="E1230" s="1">
        <v>2133144842</v>
      </c>
    </row>
    <row r="1231" spans="1:5">
      <c r="A1231" s="1" t="s">
        <v>1442</v>
      </c>
      <c r="B1231" s="1" t="s">
        <v>4</v>
      </c>
      <c r="C1231" s="1" t="s">
        <v>1706</v>
      </c>
      <c r="D1231" s="1" t="s">
        <v>2218</v>
      </c>
      <c r="E1231" s="1" t="s">
        <v>1574</v>
      </c>
    </row>
    <row r="1232" spans="1:5">
      <c r="A1232" s="1" t="s">
        <v>1442</v>
      </c>
      <c r="B1232" s="1" t="s">
        <v>4</v>
      </c>
      <c r="C1232" s="1" t="s">
        <v>1707</v>
      </c>
      <c r="D1232" s="1" t="s">
        <v>2219</v>
      </c>
      <c r="E1232" s="1">
        <v>2177568612</v>
      </c>
    </row>
    <row r="1233" spans="1:5">
      <c r="A1233" s="1" t="s">
        <v>1442</v>
      </c>
      <c r="B1233" s="1" t="s">
        <v>4</v>
      </c>
      <c r="C1233" s="1" t="s">
        <v>1708</v>
      </c>
      <c r="D1233" s="1" t="s">
        <v>2220</v>
      </c>
      <c r="E1233" s="1">
        <v>2166157387</v>
      </c>
    </row>
    <row r="1234" spans="1:5">
      <c r="A1234" s="1" t="s">
        <v>1442</v>
      </c>
      <c r="B1234" s="1" t="s">
        <v>4</v>
      </c>
      <c r="C1234" s="1" t="s">
        <v>1709</v>
      </c>
      <c r="D1234" s="1" t="s">
        <v>2221</v>
      </c>
      <c r="E1234" s="1" t="s">
        <v>1574</v>
      </c>
    </row>
    <row r="1235" spans="1:5">
      <c r="A1235" s="1" t="s">
        <v>1442</v>
      </c>
      <c r="B1235" s="1" t="s">
        <v>4</v>
      </c>
      <c r="C1235" s="1" t="s">
        <v>1710</v>
      </c>
      <c r="D1235" s="1" t="s">
        <v>2222</v>
      </c>
      <c r="E1235" s="1">
        <v>2155021485</v>
      </c>
    </row>
    <row r="1236" spans="1:5">
      <c r="A1236" s="1" t="s">
        <v>1442</v>
      </c>
      <c r="B1236" s="1" t="s">
        <v>4</v>
      </c>
      <c r="C1236" s="1" t="s">
        <v>1711</v>
      </c>
      <c r="D1236" s="1" t="s">
        <v>2223</v>
      </c>
      <c r="E1236" s="1">
        <v>2166975335</v>
      </c>
    </row>
    <row r="1237" spans="1:5">
      <c r="A1237" s="1" t="s">
        <v>1442</v>
      </c>
      <c r="B1237" s="1" t="s">
        <v>4</v>
      </c>
      <c r="C1237" s="1" t="s">
        <v>1712</v>
      </c>
      <c r="D1237" s="1" t="s">
        <v>2224</v>
      </c>
      <c r="E1237" s="1">
        <v>2155715090</v>
      </c>
    </row>
    <row r="1238" spans="1:5">
      <c r="A1238" s="1" t="s">
        <v>1442</v>
      </c>
      <c r="B1238" s="1" t="s">
        <v>4</v>
      </c>
      <c r="C1238" s="1" t="s">
        <v>1713</v>
      </c>
      <c r="D1238" s="1" t="s">
        <v>2225</v>
      </c>
      <c r="E1238" s="1">
        <v>2144264703</v>
      </c>
    </row>
    <row r="1239" spans="1:5">
      <c r="A1239" s="1" t="s">
        <v>1442</v>
      </c>
      <c r="B1239" s="1" t="s">
        <v>4</v>
      </c>
      <c r="C1239" s="1" t="s">
        <v>1714</v>
      </c>
      <c r="D1239" s="1" t="s">
        <v>2226</v>
      </c>
      <c r="E1239" s="1">
        <v>2166225978</v>
      </c>
    </row>
    <row r="1240" spans="1:5">
      <c r="A1240" s="1" t="s">
        <v>1442</v>
      </c>
      <c r="B1240" s="1" t="s">
        <v>4</v>
      </c>
      <c r="C1240" s="1" t="s">
        <v>1715</v>
      </c>
      <c r="D1240" s="1" t="s">
        <v>2227</v>
      </c>
      <c r="E1240" s="1" t="s">
        <v>2715</v>
      </c>
    </row>
    <row r="1241" spans="1:5">
      <c r="A1241" s="1" t="s">
        <v>1442</v>
      </c>
      <c r="B1241" s="1" t="s">
        <v>1482</v>
      </c>
      <c r="C1241" s="1" t="s">
        <v>1716</v>
      </c>
      <c r="D1241" s="1" t="s">
        <v>2228</v>
      </c>
      <c r="E1241" s="1">
        <v>2156421385</v>
      </c>
    </row>
    <row r="1242" spans="1:5">
      <c r="A1242" s="1" t="s">
        <v>1442</v>
      </c>
      <c r="B1242" s="1" t="s">
        <v>1482</v>
      </c>
      <c r="C1242" s="1" t="s">
        <v>1717</v>
      </c>
      <c r="D1242" s="1" t="s">
        <v>2229</v>
      </c>
      <c r="E1242" s="1">
        <v>2156440916</v>
      </c>
    </row>
    <row r="1243" spans="1:5">
      <c r="A1243" s="1" t="s">
        <v>1442</v>
      </c>
      <c r="B1243" s="1" t="s">
        <v>1483</v>
      </c>
      <c r="C1243" s="1" t="s">
        <v>1718</v>
      </c>
      <c r="D1243" s="1" t="s">
        <v>2230</v>
      </c>
      <c r="E1243" s="1">
        <v>2155900402</v>
      </c>
    </row>
    <row r="1244" spans="1:5">
      <c r="A1244" s="1" t="s">
        <v>1442</v>
      </c>
      <c r="B1244" s="1" t="s">
        <v>1483</v>
      </c>
      <c r="C1244" s="1" t="s">
        <v>1719</v>
      </c>
      <c r="D1244" s="1" t="s">
        <v>2231</v>
      </c>
      <c r="E1244" s="1">
        <v>2133746289</v>
      </c>
    </row>
    <row r="1245" spans="1:5">
      <c r="A1245" s="1" t="s">
        <v>1442</v>
      </c>
      <c r="B1245" s="1" t="s">
        <v>371</v>
      </c>
      <c r="C1245" s="1" t="s">
        <v>1720</v>
      </c>
      <c r="D1245" s="1" t="s">
        <v>2232</v>
      </c>
      <c r="E1245" s="1">
        <v>2165222757</v>
      </c>
    </row>
    <row r="1246" spans="1:5">
      <c r="A1246" s="1" t="s">
        <v>1442</v>
      </c>
      <c r="B1246" s="1" t="s">
        <v>1484</v>
      </c>
      <c r="C1246" s="1" t="s">
        <v>1721</v>
      </c>
      <c r="D1246" s="1" t="s">
        <v>2233</v>
      </c>
      <c r="E1246" s="1" t="s">
        <v>2716</v>
      </c>
    </row>
    <row r="1247" spans="1:5">
      <c r="A1247" s="1" t="s">
        <v>1442</v>
      </c>
      <c r="B1247" s="1" t="s">
        <v>415</v>
      </c>
      <c r="C1247" s="1" t="s">
        <v>1722</v>
      </c>
      <c r="D1247" s="1" t="s">
        <v>2234</v>
      </c>
      <c r="E1247" s="1">
        <v>2176448995</v>
      </c>
    </row>
    <row r="1248" spans="1:5">
      <c r="A1248" s="1" t="s">
        <v>1442</v>
      </c>
      <c r="B1248" s="1" t="s">
        <v>367</v>
      </c>
      <c r="C1248" s="1" t="s">
        <v>1723</v>
      </c>
      <c r="D1248" s="1" t="s">
        <v>2235</v>
      </c>
      <c r="E1248" s="1">
        <v>2136256047</v>
      </c>
    </row>
    <row r="1249" spans="1:5">
      <c r="A1249" s="1" t="s">
        <v>1442</v>
      </c>
      <c r="B1249" s="1" t="s">
        <v>1485</v>
      </c>
      <c r="C1249" s="1" t="s">
        <v>1724</v>
      </c>
      <c r="D1249" s="1" t="s">
        <v>2236</v>
      </c>
      <c r="E1249" s="1" t="s">
        <v>2717</v>
      </c>
    </row>
    <row r="1250" spans="1:5">
      <c r="A1250" s="1" t="s">
        <v>1442</v>
      </c>
      <c r="B1250" s="1" t="s">
        <v>431</v>
      </c>
      <c r="C1250" s="1" t="s">
        <v>1725</v>
      </c>
      <c r="D1250" s="1" t="s">
        <v>2237</v>
      </c>
      <c r="E1250" s="1" t="s">
        <v>2718</v>
      </c>
    </row>
    <row r="1251" spans="1:5">
      <c r="A1251" s="1" t="s">
        <v>1442</v>
      </c>
      <c r="B1251" s="1" t="s">
        <v>1486</v>
      </c>
      <c r="C1251" s="1" t="s">
        <v>1726</v>
      </c>
      <c r="D1251" s="1" t="s">
        <v>2238</v>
      </c>
      <c r="E1251" s="1" t="s">
        <v>2719</v>
      </c>
    </row>
    <row r="1252" spans="1:5">
      <c r="A1252" s="1" t="s">
        <v>1442</v>
      </c>
      <c r="B1252" s="1" t="s">
        <v>419</v>
      </c>
      <c r="C1252" s="1" t="s">
        <v>1727</v>
      </c>
      <c r="D1252" s="1" t="s">
        <v>2239</v>
      </c>
      <c r="E1252" s="1" t="s">
        <v>2720</v>
      </c>
    </row>
    <row r="1253" spans="1:5">
      <c r="A1253" s="1" t="s">
        <v>1442</v>
      </c>
      <c r="B1253" s="1" t="s">
        <v>419</v>
      </c>
      <c r="C1253" s="1" t="s">
        <v>1728</v>
      </c>
      <c r="D1253" s="1" t="s">
        <v>2240</v>
      </c>
      <c r="E1253" s="1" t="s">
        <v>2721</v>
      </c>
    </row>
    <row r="1254" spans="1:5">
      <c r="A1254" s="1" t="s">
        <v>1442</v>
      </c>
      <c r="B1254" s="1" t="s">
        <v>419</v>
      </c>
      <c r="C1254" s="1" t="s">
        <v>1729</v>
      </c>
      <c r="D1254" s="1" t="s">
        <v>2241</v>
      </c>
      <c r="E1254" s="1" t="s">
        <v>1574</v>
      </c>
    </row>
    <row r="1255" spans="1:5">
      <c r="A1255" s="1" t="s">
        <v>1442</v>
      </c>
      <c r="B1255" s="1" t="s">
        <v>423</v>
      </c>
      <c r="C1255" s="1" t="s">
        <v>1730</v>
      </c>
      <c r="D1255" s="1" t="s">
        <v>2242</v>
      </c>
      <c r="E1255" s="1" t="s">
        <v>2722</v>
      </c>
    </row>
    <row r="1256" spans="1:5">
      <c r="A1256" s="1" t="s">
        <v>1442</v>
      </c>
      <c r="B1256" s="1" t="s">
        <v>1487</v>
      </c>
      <c r="C1256" s="1" t="s">
        <v>1731</v>
      </c>
      <c r="D1256" s="1" t="s">
        <v>2243</v>
      </c>
      <c r="E1256" s="1" t="s">
        <v>2723</v>
      </c>
    </row>
    <row r="1257" spans="1:5">
      <c r="A1257" s="1" t="s">
        <v>1442</v>
      </c>
      <c r="B1257" s="1" t="s">
        <v>427</v>
      </c>
      <c r="C1257" s="1" t="s">
        <v>1732</v>
      </c>
      <c r="D1257" s="1" t="s">
        <v>2244</v>
      </c>
      <c r="E1257" s="1" t="s">
        <v>2724</v>
      </c>
    </row>
    <row r="1258" spans="1:5">
      <c r="A1258" s="1" t="s">
        <v>1442</v>
      </c>
      <c r="B1258" s="1" t="s">
        <v>1488</v>
      </c>
      <c r="C1258" s="1" t="s">
        <v>1733</v>
      </c>
      <c r="D1258" s="1" t="s">
        <v>2245</v>
      </c>
      <c r="E1258" s="1" t="s">
        <v>2725</v>
      </c>
    </row>
    <row r="1259" spans="1:5">
      <c r="A1259" s="1" t="s">
        <v>1442</v>
      </c>
      <c r="B1259" s="1" t="s">
        <v>1488</v>
      </c>
      <c r="C1259" s="1" t="s">
        <v>1734</v>
      </c>
      <c r="D1259" s="1" t="s">
        <v>2246</v>
      </c>
      <c r="E1259" s="1" t="s">
        <v>2726</v>
      </c>
    </row>
    <row r="1260" spans="1:5">
      <c r="A1260" s="1" t="s">
        <v>1442</v>
      </c>
      <c r="B1260" s="1" t="s">
        <v>1488</v>
      </c>
      <c r="C1260" s="1" t="s">
        <v>1735</v>
      </c>
      <c r="D1260" s="1" t="s">
        <v>2247</v>
      </c>
      <c r="E1260" s="1" t="s">
        <v>2727</v>
      </c>
    </row>
    <row r="1261" spans="1:5">
      <c r="A1261" s="1" t="s">
        <v>1442</v>
      </c>
      <c r="B1261" s="1" t="s">
        <v>1110</v>
      </c>
      <c r="C1261" s="1" t="s">
        <v>1736</v>
      </c>
      <c r="D1261" s="1" t="s">
        <v>2248</v>
      </c>
      <c r="E1261" s="1" t="s">
        <v>2728</v>
      </c>
    </row>
    <row r="1262" spans="1:5">
      <c r="A1262" s="1" t="s">
        <v>1442</v>
      </c>
      <c r="B1262" s="1" t="s">
        <v>1489</v>
      </c>
      <c r="C1262" s="1" t="s">
        <v>1737</v>
      </c>
      <c r="D1262" s="1" t="s">
        <v>2249</v>
      </c>
      <c r="E1262" s="1" t="s">
        <v>2729</v>
      </c>
    </row>
    <row r="1263" spans="1:5">
      <c r="A1263" s="1" t="s">
        <v>1442</v>
      </c>
      <c r="B1263" s="1" t="s">
        <v>1490</v>
      </c>
      <c r="C1263" s="1" t="s">
        <v>1738</v>
      </c>
      <c r="D1263" s="1" t="s">
        <v>2250</v>
      </c>
      <c r="E1263" s="1" t="s">
        <v>1574</v>
      </c>
    </row>
    <row r="1264" spans="1:5">
      <c r="A1264" s="1" t="s">
        <v>1442</v>
      </c>
      <c r="B1264" s="1" t="s">
        <v>437</v>
      </c>
      <c r="C1264" s="1" t="s">
        <v>1739</v>
      </c>
      <c r="D1264" s="1" t="s">
        <v>2251</v>
      </c>
      <c r="E1264" s="1" t="s">
        <v>2730</v>
      </c>
    </row>
    <row r="1265" spans="1:5">
      <c r="A1265" s="1" t="s">
        <v>1442</v>
      </c>
      <c r="B1265" s="1" t="s">
        <v>441</v>
      </c>
      <c r="C1265" s="1" t="s">
        <v>1740</v>
      </c>
      <c r="D1265" s="1" t="s">
        <v>2252</v>
      </c>
      <c r="E1265" s="1" t="s">
        <v>2731</v>
      </c>
    </row>
    <row r="1266" spans="1:5">
      <c r="A1266" s="1" t="s">
        <v>1442</v>
      </c>
      <c r="B1266" s="1" t="s">
        <v>445</v>
      </c>
      <c r="C1266" s="1" t="s">
        <v>1741</v>
      </c>
      <c r="D1266" s="1" t="s">
        <v>2253</v>
      </c>
      <c r="E1266" s="1" t="s">
        <v>2732</v>
      </c>
    </row>
    <row r="1267" spans="1:5">
      <c r="A1267" s="1" t="s">
        <v>1442</v>
      </c>
      <c r="B1267" s="1" t="s">
        <v>457</v>
      </c>
      <c r="C1267" s="1" t="s">
        <v>1742</v>
      </c>
      <c r="D1267" s="1" t="s">
        <v>2254</v>
      </c>
      <c r="E1267" s="1" t="s">
        <v>2733</v>
      </c>
    </row>
    <row r="1268" spans="1:5">
      <c r="A1268" s="1" t="s">
        <v>1442</v>
      </c>
      <c r="B1268" s="1" t="s">
        <v>461</v>
      </c>
      <c r="C1268" s="1" t="s">
        <v>1743</v>
      </c>
      <c r="D1268" s="1" t="s">
        <v>2255</v>
      </c>
      <c r="E1268" s="1" t="s">
        <v>2734</v>
      </c>
    </row>
    <row r="1269" spans="1:5">
      <c r="A1269" s="1" t="s">
        <v>1442</v>
      </c>
      <c r="B1269" s="1" t="s">
        <v>469</v>
      </c>
      <c r="C1269" s="1" t="s">
        <v>1744</v>
      </c>
      <c r="D1269" s="1" t="s">
        <v>2256</v>
      </c>
      <c r="E1269" s="1" t="s">
        <v>1574</v>
      </c>
    </row>
    <row r="1270" spans="1:5">
      <c r="A1270" s="1" t="s">
        <v>1442</v>
      </c>
      <c r="B1270" s="1" t="s">
        <v>469</v>
      </c>
      <c r="C1270" s="1" t="s">
        <v>1745</v>
      </c>
      <c r="D1270" s="1" t="s">
        <v>2257</v>
      </c>
      <c r="E1270" s="1" t="s">
        <v>2735</v>
      </c>
    </row>
    <row r="1271" spans="1:5">
      <c r="A1271" s="1" t="s">
        <v>1442</v>
      </c>
      <c r="B1271" s="1" t="s">
        <v>473</v>
      </c>
      <c r="C1271" s="1" t="s">
        <v>1746</v>
      </c>
      <c r="D1271" s="1" t="s">
        <v>2258</v>
      </c>
      <c r="E1271" s="1" t="s">
        <v>2736</v>
      </c>
    </row>
    <row r="1272" spans="1:5">
      <c r="A1272" s="1" t="s">
        <v>1442</v>
      </c>
      <c r="B1272" s="1" t="s">
        <v>477</v>
      </c>
      <c r="C1272" s="1" t="s">
        <v>1747</v>
      </c>
      <c r="D1272" s="1" t="s">
        <v>2259</v>
      </c>
      <c r="E1272" s="1" t="s">
        <v>2737</v>
      </c>
    </row>
    <row r="1273" spans="1:5">
      <c r="A1273" s="1" t="s">
        <v>1442</v>
      </c>
      <c r="B1273" s="1" t="s">
        <v>477</v>
      </c>
      <c r="C1273" s="1" t="s">
        <v>1748</v>
      </c>
      <c r="D1273" s="1" t="s">
        <v>2260</v>
      </c>
      <c r="E1273" s="1" t="s">
        <v>1574</v>
      </c>
    </row>
    <row r="1274" spans="1:5">
      <c r="A1274" s="1" t="s">
        <v>1442</v>
      </c>
      <c r="B1274" s="1" t="s">
        <v>477</v>
      </c>
      <c r="C1274" s="1" t="s">
        <v>1749</v>
      </c>
      <c r="D1274" s="1" t="s">
        <v>2261</v>
      </c>
      <c r="E1274" s="1" t="s">
        <v>2738</v>
      </c>
    </row>
    <row r="1275" spans="1:5">
      <c r="A1275" s="1" t="s">
        <v>1442</v>
      </c>
      <c r="B1275" s="1" t="s">
        <v>477</v>
      </c>
      <c r="C1275" s="1" t="s">
        <v>1750</v>
      </c>
      <c r="D1275" s="1" t="s">
        <v>2262</v>
      </c>
      <c r="E1275" s="1" t="s">
        <v>2739</v>
      </c>
    </row>
    <row r="1276" spans="1:5">
      <c r="A1276" s="1" t="s">
        <v>1442</v>
      </c>
      <c r="B1276" s="1" t="s">
        <v>477</v>
      </c>
      <c r="C1276" s="1" t="s">
        <v>1751</v>
      </c>
      <c r="D1276" s="1" t="s">
        <v>2263</v>
      </c>
      <c r="E1276" s="1" t="s">
        <v>2740</v>
      </c>
    </row>
    <row r="1277" spans="1:5">
      <c r="A1277" s="1" t="s">
        <v>1442</v>
      </c>
      <c r="B1277" s="1" t="s">
        <v>477</v>
      </c>
      <c r="C1277" s="1" t="s">
        <v>1752</v>
      </c>
      <c r="D1277" s="1" t="s">
        <v>2264</v>
      </c>
      <c r="E1277" s="1" t="s">
        <v>2741</v>
      </c>
    </row>
    <row r="1278" spans="1:5">
      <c r="A1278" s="1" t="s">
        <v>1442</v>
      </c>
      <c r="B1278" s="1" t="s">
        <v>477</v>
      </c>
      <c r="C1278" s="1" t="s">
        <v>1753</v>
      </c>
      <c r="D1278" s="1" t="s">
        <v>2265</v>
      </c>
      <c r="E1278" s="1" t="s">
        <v>2742</v>
      </c>
    </row>
    <row r="1279" spans="1:5">
      <c r="A1279" s="1" t="s">
        <v>1442</v>
      </c>
      <c r="B1279" s="1" t="s">
        <v>477</v>
      </c>
      <c r="C1279" s="1" t="s">
        <v>1754</v>
      </c>
      <c r="D1279" s="1" t="s">
        <v>2266</v>
      </c>
      <c r="E1279" s="1" t="s">
        <v>2743</v>
      </c>
    </row>
    <row r="1280" spans="1:5">
      <c r="A1280" s="1" t="s">
        <v>1442</v>
      </c>
      <c r="B1280" s="1" t="s">
        <v>477</v>
      </c>
      <c r="C1280" s="1" t="s">
        <v>1755</v>
      </c>
      <c r="D1280" s="1" t="s">
        <v>2267</v>
      </c>
      <c r="E1280" s="1" t="s">
        <v>2744</v>
      </c>
    </row>
    <row r="1281" spans="1:5">
      <c r="A1281" s="1" t="s">
        <v>1442</v>
      </c>
      <c r="B1281" s="1" t="s">
        <v>477</v>
      </c>
      <c r="C1281" s="1" t="s">
        <v>1756</v>
      </c>
      <c r="D1281" s="1" t="s">
        <v>2268</v>
      </c>
      <c r="E1281" s="1" t="s">
        <v>2745</v>
      </c>
    </row>
    <row r="1282" spans="1:5">
      <c r="A1282" s="1" t="s">
        <v>1442</v>
      </c>
      <c r="B1282" s="1" t="s">
        <v>1357</v>
      </c>
      <c r="C1282" s="1" t="s">
        <v>1757</v>
      </c>
      <c r="D1282" s="1" t="s">
        <v>2269</v>
      </c>
      <c r="E1282" s="1" t="s">
        <v>2746</v>
      </c>
    </row>
    <row r="1283" spans="1:5">
      <c r="A1283" s="1" t="s">
        <v>1442</v>
      </c>
      <c r="B1283" s="1" t="s">
        <v>1357</v>
      </c>
      <c r="C1283" s="1" t="s">
        <v>1758</v>
      </c>
      <c r="D1283" s="1" t="s">
        <v>2270</v>
      </c>
      <c r="E1283" s="1" t="s">
        <v>2747</v>
      </c>
    </row>
    <row r="1284" spans="1:5">
      <c r="A1284" s="1" t="s">
        <v>1442</v>
      </c>
      <c r="B1284" s="1" t="s">
        <v>1357</v>
      </c>
      <c r="C1284" s="1" t="s">
        <v>1759</v>
      </c>
      <c r="D1284" s="1" t="s">
        <v>2271</v>
      </c>
      <c r="E1284" s="1" t="s">
        <v>2748</v>
      </c>
    </row>
    <row r="1285" spans="1:5">
      <c r="A1285" s="1" t="s">
        <v>1442</v>
      </c>
      <c r="B1285" s="1" t="s">
        <v>1357</v>
      </c>
      <c r="C1285" s="1" t="s">
        <v>1760</v>
      </c>
      <c r="D1285" s="1" t="s">
        <v>2272</v>
      </c>
      <c r="E1285" s="1" t="s">
        <v>2749</v>
      </c>
    </row>
    <row r="1286" spans="1:5">
      <c r="A1286" s="1" t="s">
        <v>1442</v>
      </c>
      <c r="B1286" s="1" t="s">
        <v>1491</v>
      </c>
      <c r="C1286" s="1" t="s">
        <v>1761</v>
      </c>
      <c r="D1286" s="1" t="s">
        <v>2273</v>
      </c>
      <c r="E1286" s="1" t="s">
        <v>2750</v>
      </c>
    </row>
    <row r="1287" spans="1:5">
      <c r="A1287" s="1" t="s">
        <v>1442</v>
      </c>
      <c r="B1287" s="1" t="s">
        <v>1491</v>
      </c>
      <c r="C1287" s="1" t="s">
        <v>1762</v>
      </c>
      <c r="D1287" s="1" t="s">
        <v>2274</v>
      </c>
      <c r="E1287" s="1" t="s">
        <v>2751</v>
      </c>
    </row>
    <row r="1288" spans="1:5">
      <c r="A1288" s="1" t="s">
        <v>1442</v>
      </c>
      <c r="B1288" s="1" t="s">
        <v>494</v>
      </c>
      <c r="C1288" s="1" t="s">
        <v>1763</v>
      </c>
      <c r="D1288" s="1" t="s">
        <v>2275</v>
      </c>
      <c r="E1288" s="1" t="s">
        <v>2752</v>
      </c>
    </row>
    <row r="1289" spans="1:5">
      <c r="A1289" s="1" t="s">
        <v>1442</v>
      </c>
      <c r="B1289" s="1" t="s">
        <v>494</v>
      </c>
      <c r="C1289" s="1" t="s">
        <v>1764</v>
      </c>
      <c r="D1289" s="1" t="s">
        <v>2276</v>
      </c>
      <c r="E1289" s="1">
        <v>5837227855</v>
      </c>
    </row>
    <row r="1290" spans="1:5">
      <c r="A1290" s="1" t="s">
        <v>1442</v>
      </c>
      <c r="B1290" s="1" t="s">
        <v>501</v>
      </c>
      <c r="C1290" s="1" t="s">
        <v>1765</v>
      </c>
      <c r="D1290" s="1" t="s">
        <v>2277</v>
      </c>
      <c r="E1290" s="1" t="s">
        <v>2753</v>
      </c>
    </row>
    <row r="1291" spans="1:5">
      <c r="A1291" s="1" t="s">
        <v>1442</v>
      </c>
      <c r="B1291" s="1" t="s">
        <v>501</v>
      </c>
      <c r="C1291" s="1" t="s">
        <v>1766</v>
      </c>
      <c r="D1291" s="1" t="s">
        <v>2278</v>
      </c>
      <c r="E1291" s="1" t="s">
        <v>2754</v>
      </c>
    </row>
    <row r="1292" spans="1:5">
      <c r="A1292" s="1" t="s">
        <v>1442</v>
      </c>
      <c r="B1292" s="1" t="s">
        <v>501</v>
      </c>
      <c r="C1292" s="1" t="s">
        <v>1767</v>
      </c>
      <c r="D1292" s="1" t="s">
        <v>2279</v>
      </c>
      <c r="E1292" s="1" t="s">
        <v>2755</v>
      </c>
    </row>
    <row r="1293" spans="1:5">
      <c r="A1293" s="1" t="s">
        <v>1442</v>
      </c>
      <c r="B1293" s="1" t="s">
        <v>501</v>
      </c>
      <c r="C1293" s="1" t="s">
        <v>1768</v>
      </c>
      <c r="D1293" s="1" t="s">
        <v>2280</v>
      </c>
      <c r="E1293" s="1" t="s">
        <v>2756</v>
      </c>
    </row>
    <row r="1294" spans="1:5">
      <c r="A1294" s="1" t="s">
        <v>1442</v>
      </c>
      <c r="B1294" s="1" t="s">
        <v>1492</v>
      </c>
      <c r="C1294" s="1" t="s">
        <v>1769</v>
      </c>
      <c r="D1294" s="1" t="s">
        <v>2281</v>
      </c>
      <c r="E1294" s="1" t="s">
        <v>2757</v>
      </c>
    </row>
    <row r="1295" spans="1:5">
      <c r="A1295" s="1" t="s">
        <v>1442</v>
      </c>
      <c r="B1295" s="1" t="s">
        <v>1493</v>
      </c>
      <c r="C1295" s="1" t="s">
        <v>1770</v>
      </c>
      <c r="D1295" s="1" t="s">
        <v>2282</v>
      </c>
      <c r="E1295" s="1" t="s">
        <v>2758</v>
      </c>
    </row>
    <row r="1296" spans="1:5">
      <c r="A1296" s="1" t="s">
        <v>1442</v>
      </c>
      <c r="B1296" s="1" t="s">
        <v>534</v>
      </c>
      <c r="C1296" s="1" t="s">
        <v>1771</v>
      </c>
      <c r="D1296" s="1" t="s">
        <v>2283</v>
      </c>
      <c r="E1296" s="1" t="s">
        <v>2759</v>
      </c>
    </row>
    <row r="1297" spans="1:5">
      <c r="A1297" s="1" t="s">
        <v>1442</v>
      </c>
      <c r="B1297" s="1" t="s">
        <v>534</v>
      </c>
      <c r="C1297" s="1" t="s">
        <v>1772</v>
      </c>
      <c r="D1297" s="1" t="s">
        <v>2284</v>
      </c>
      <c r="E1297" s="1" t="s">
        <v>2760</v>
      </c>
    </row>
    <row r="1298" spans="1:5">
      <c r="A1298" s="1" t="s">
        <v>1442</v>
      </c>
      <c r="B1298" s="1" t="s">
        <v>1494</v>
      </c>
      <c r="C1298" s="1" t="s">
        <v>1773</v>
      </c>
      <c r="D1298" s="1" t="s">
        <v>2285</v>
      </c>
      <c r="E1298" s="1" t="s">
        <v>2761</v>
      </c>
    </row>
    <row r="1299" spans="1:5">
      <c r="A1299" s="1" t="s">
        <v>1442</v>
      </c>
      <c r="B1299" s="1" t="s">
        <v>512</v>
      </c>
      <c r="C1299" s="1" t="s">
        <v>1774</v>
      </c>
      <c r="D1299" s="1" t="s">
        <v>2286</v>
      </c>
      <c r="E1299" s="1" t="s">
        <v>2762</v>
      </c>
    </row>
    <row r="1300" spans="1:5">
      <c r="A1300" s="1" t="s">
        <v>1442</v>
      </c>
      <c r="B1300" s="1" t="s">
        <v>512</v>
      </c>
      <c r="C1300" s="1" t="s">
        <v>1775</v>
      </c>
      <c r="D1300" s="1" t="s">
        <v>2287</v>
      </c>
      <c r="E1300" s="1" t="s">
        <v>2763</v>
      </c>
    </row>
    <row r="1301" spans="1:5">
      <c r="A1301" s="1" t="s">
        <v>1442</v>
      </c>
      <c r="B1301" s="1" t="s">
        <v>512</v>
      </c>
      <c r="C1301" s="1" t="s">
        <v>1776</v>
      </c>
      <c r="D1301" s="1" t="s">
        <v>2288</v>
      </c>
      <c r="E1301" s="1" t="s">
        <v>1574</v>
      </c>
    </row>
    <row r="1302" spans="1:5">
      <c r="A1302" s="1" t="s">
        <v>1442</v>
      </c>
      <c r="B1302" s="1" t="s">
        <v>512</v>
      </c>
      <c r="C1302" s="1" t="s">
        <v>1777</v>
      </c>
      <c r="D1302" s="1" t="s">
        <v>2289</v>
      </c>
      <c r="E1302" s="1" t="s">
        <v>2764</v>
      </c>
    </row>
    <row r="1303" spans="1:5">
      <c r="A1303" s="1" t="s">
        <v>1442</v>
      </c>
      <c r="B1303" s="1" t="s">
        <v>512</v>
      </c>
      <c r="C1303" s="1" t="s">
        <v>1778</v>
      </c>
      <c r="D1303" s="1" t="s">
        <v>2290</v>
      </c>
      <c r="E1303" s="1" t="s">
        <v>2765</v>
      </c>
    </row>
    <row r="1304" spans="1:5">
      <c r="A1304" s="1" t="s">
        <v>1442</v>
      </c>
      <c r="B1304" s="1" t="s">
        <v>512</v>
      </c>
      <c r="C1304" s="1" t="s">
        <v>1779</v>
      </c>
      <c r="D1304" s="1" t="s">
        <v>2291</v>
      </c>
      <c r="E1304" s="1" t="s">
        <v>1574</v>
      </c>
    </row>
    <row r="1305" spans="1:5">
      <c r="A1305" s="1" t="s">
        <v>1442</v>
      </c>
      <c r="B1305" s="1" t="s">
        <v>512</v>
      </c>
      <c r="C1305" s="1" t="s">
        <v>1780</v>
      </c>
      <c r="D1305" s="1" t="s">
        <v>2292</v>
      </c>
      <c r="E1305" s="1" t="s">
        <v>2766</v>
      </c>
    </row>
    <row r="1306" spans="1:5">
      <c r="A1306" s="1" t="s">
        <v>1442</v>
      </c>
      <c r="B1306" s="1" t="s">
        <v>512</v>
      </c>
      <c r="C1306" s="1" t="s">
        <v>1781</v>
      </c>
      <c r="D1306" s="1" t="s">
        <v>2293</v>
      </c>
      <c r="E1306" s="1" t="s">
        <v>2767</v>
      </c>
    </row>
    <row r="1307" spans="1:5">
      <c r="A1307" s="1" t="s">
        <v>1442</v>
      </c>
      <c r="B1307" s="1" t="s">
        <v>512</v>
      </c>
      <c r="C1307" s="1" t="s">
        <v>1782</v>
      </c>
      <c r="D1307" s="1" t="s">
        <v>2294</v>
      </c>
      <c r="E1307" s="1" t="s">
        <v>2768</v>
      </c>
    </row>
    <row r="1308" spans="1:5">
      <c r="A1308" s="1" t="s">
        <v>1442</v>
      </c>
      <c r="B1308" s="1" t="s">
        <v>527</v>
      </c>
      <c r="C1308" s="1" t="s">
        <v>1783</v>
      </c>
      <c r="D1308" s="1" t="s">
        <v>2295</v>
      </c>
      <c r="E1308" s="1" t="s">
        <v>2769</v>
      </c>
    </row>
    <row r="1309" spans="1:5">
      <c r="A1309" s="1" t="s">
        <v>1442</v>
      </c>
      <c r="B1309" s="1" t="s">
        <v>1495</v>
      </c>
      <c r="C1309" s="1" t="s">
        <v>1784</v>
      </c>
      <c r="D1309" s="1" t="s">
        <v>2296</v>
      </c>
      <c r="E1309" s="1" t="s">
        <v>2770</v>
      </c>
    </row>
    <row r="1310" spans="1:5">
      <c r="A1310" s="1" t="s">
        <v>1442</v>
      </c>
      <c r="B1310" s="1" t="s">
        <v>1496</v>
      </c>
      <c r="C1310" s="1" t="s">
        <v>1785</v>
      </c>
      <c r="D1310" s="1" t="s">
        <v>2297</v>
      </c>
      <c r="E1310" s="1" t="s">
        <v>2771</v>
      </c>
    </row>
    <row r="1311" spans="1:5">
      <c r="A1311" s="1" t="s">
        <v>1442</v>
      </c>
      <c r="B1311" s="1" t="s">
        <v>545</v>
      </c>
      <c r="C1311" s="1" t="s">
        <v>1786</v>
      </c>
      <c r="D1311" s="1" t="s">
        <v>2298</v>
      </c>
      <c r="E1311" s="1" t="s">
        <v>2772</v>
      </c>
    </row>
    <row r="1312" spans="1:5">
      <c r="A1312" s="1" t="s">
        <v>1442</v>
      </c>
      <c r="B1312" s="1" t="s">
        <v>552</v>
      </c>
      <c r="C1312" s="1" t="s">
        <v>1787</v>
      </c>
      <c r="D1312" s="1" t="s">
        <v>2299</v>
      </c>
      <c r="E1312" s="1" t="s">
        <v>2773</v>
      </c>
    </row>
    <row r="1313" spans="1:5">
      <c r="A1313" s="1" t="s">
        <v>1442</v>
      </c>
      <c r="B1313" s="1" t="s">
        <v>559</v>
      </c>
      <c r="C1313" s="1" t="s">
        <v>1788</v>
      </c>
      <c r="D1313" s="1" t="s">
        <v>2300</v>
      </c>
      <c r="E1313" s="1" t="s">
        <v>2774</v>
      </c>
    </row>
    <row r="1314" spans="1:5">
      <c r="A1314" s="1" t="s">
        <v>1442</v>
      </c>
      <c r="B1314" s="1" t="s">
        <v>559</v>
      </c>
      <c r="C1314" s="1" t="s">
        <v>1789</v>
      </c>
      <c r="D1314" s="1" t="s">
        <v>2301</v>
      </c>
      <c r="E1314" s="1" t="s">
        <v>1574</v>
      </c>
    </row>
    <row r="1315" spans="1:5">
      <c r="A1315" s="1" t="s">
        <v>1442</v>
      </c>
      <c r="B1315" s="1" t="s">
        <v>1497</v>
      </c>
      <c r="C1315" s="1" t="s">
        <v>1790</v>
      </c>
      <c r="D1315" s="1" t="s">
        <v>2302</v>
      </c>
      <c r="E1315" s="1" t="s">
        <v>2775</v>
      </c>
    </row>
    <row r="1316" spans="1:5">
      <c r="A1316" s="1" t="s">
        <v>1442</v>
      </c>
      <c r="B1316" s="1" t="s">
        <v>1498</v>
      </c>
      <c r="C1316" s="1" t="s">
        <v>1791</v>
      </c>
      <c r="D1316" s="1" t="s">
        <v>2303</v>
      </c>
      <c r="E1316" s="1" t="s">
        <v>2776</v>
      </c>
    </row>
    <row r="1317" spans="1:5">
      <c r="A1317" s="1" t="s">
        <v>1442</v>
      </c>
      <c r="B1317" s="1" t="s">
        <v>1499</v>
      </c>
      <c r="C1317" s="1" t="s">
        <v>1792</v>
      </c>
      <c r="D1317" s="1" t="s">
        <v>2304</v>
      </c>
      <c r="E1317" s="1" t="s">
        <v>1574</v>
      </c>
    </row>
    <row r="1318" spans="1:5">
      <c r="A1318" s="1" t="s">
        <v>1442</v>
      </c>
      <c r="B1318" s="1" t="s">
        <v>1500</v>
      </c>
      <c r="C1318" s="1" t="s">
        <v>1793</v>
      </c>
      <c r="D1318" s="1" t="s">
        <v>2305</v>
      </c>
      <c r="E1318" s="1" t="s">
        <v>2777</v>
      </c>
    </row>
    <row r="1319" spans="1:5">
      <c r="A1319" s="1" t="s">
        <v>1442</v>
      </c>
      <c r="B1319" s="1" t="s">
        <v>567</v>
      </c>
      <c r="C1319" s="1" t="s">
        <v>1794</v>
      </c>
      <c r="D1319" s="1" t="s">
        <v>2306</v>
      </c>
      <c r="E1319" s="1" t="s">
        <v>2778</v>
      </c>
    </row>
    <row r="1320" spans="1:5">
      <c r="A1320" s="1" t="s">
        <v>1442</v>
      </c>
      <c r="B1320" s="1" t="s">
        <v>1501</v>
      </c>
      <c r="C1320" s="1" t="s">
        <v>1795</v>
      </c>
      <c r="D1320" s="1" t="s">
        <v>2307</v>
      </c>
      <c r="E1320" s="1" t="s">
        <v>2779</v>
      </c>
    </row>
    <row r="1321" spans="1:5">
      <c r="A1321" s="1" t="s">
        <v>1442</v>
      </c>
      <c r="B1321" s="1" t="s">
        <v>1502</v>
      </c>
      <c r="C1321" s="1" t="s">
        <v>1796</v>
      </c>
      <c r="D1321" s="1" t="s">
        <v>2308</v>
      </c>
      <c r="E1321" s="1" t="s">
        <v>2780</v>
      </c>
    </row>
    <row r="1322" spans="1:5">
      <c r="A1322" s="1" t="s">
        <v>1442</v>
      </c>
      <c r="B1322" s="1" t="s">
        <v>587</v>
      </c>
      <c r="C1322" s="1" t="s">
        <v>1797</v>
      </c>
      <c r="D1322" s="1" t="s">
        <v>2309</v>
      </c>
      <c r="E1322" s="1" t="s">
        <v>2781</v>
      </c>
    </row>
    <row r="1323" spans="1:5">
      <c r="A1323" s="1" t="s">
        <v>1442</v>
      </c>
      <c r="B1323" s="1" t="s">
        <v>587</v>
      </c>
      <c r="C1323" s="1" t="s">
        <v>1798</v>
      </c>
      <c r="D1323" s="1" t="s">
        <v>2310</v>
      </c>
      <c r="E1323" s="1" t="s">
        <v>2782</v>
      </c>
    </row>
    <row r="1324" spans="1:5">
      <c r="A1324" s="1" t="s">
        <v>1442</v>
      </c>
      <c r="B1324" s="1" t="s">
        <v>591</v>
      </c>
      <c r="C1324" s="1" t="s">
        <v>1799</v>
      </c>
      <c r="D1324" s="1" t="s">
        <v>2311</v>
      </c>
      <c r="E1324" s="1" t="s">
        <v>2783</v>
      </c>
    </row>
    <row r="1325" spans="1:5">
      <c r="A1325" s="1" t="s">
        <v>1442</v>
      </c>
      <c r="B1325" s="1" t="s">
        <v>583</v>
      </c>
      <c r="C1325" s="1" t="s">
        <v>1800</v>
      </c>
      <c r="D1325" s="1" t="s">
        <v>2312</v>
      </c>
      <c r="E1325" s="1" t="s">
        <v>2784</v>
      </c>
    </row>
    <row r="1326" spans="1:5">
      <c r="A1326" s="1" t="s">
        <v>1442</v>
      </c>
      <c r="B1326" s="1" t="s">
        <v>583</v>
      </c>
      <c r="C1326" s="1" t="s">
        <v>1801</v>
      </c>
      <c r="D1326" s="1" t="s">
        <v>2313</v>
      </c>
      <c r="E1326" s="1" t="s">
        <v>2785</v>
      </c>
    </row>
    <row r="1327" spans="1:5">
      <c r="A1327" s="1" t="s">
        <v>1442</v>
      </c>
      <c r="B1327" s="1" t="s">
        <v>583</v>
      </c>
      <c r="C1327" s="1" t="s">
        <v>1802</v>
      </c>
      <c r="D1327" s="1" t="s">
        <v>2314</v>
      </c>
      <c r="E1327" s="1" t="s">
        <v>2786</v>
      </c>
    </row>
    <row r="1328" spans="1:5">
      <c r="A1328" s="1" t="s">
        <v>1442</v>
      </c>
      <c r="B1328" s="1" t="s">
        <v>583</v>
      </c>
      <c r="C1328" s="1" t="s">
        <v>1803</v>
      </c>
      <c r="D1328" s="1" t="s">
        <v>2315</v>
      </c>
      <c r="E1328" s="1" t="s">
        <v>2787</v>
      </c>
    </row>
    <row r="1329" spans="1:5">
      <c r="A1329" s="1" t="s">
        <v>1442</v>
      </c>
      <c r="B1329" s="1" t="s">
        <v>583</v>
      </c>
      <c r="C1329" s="1" t="s">
        <v>1804</v>
      </c>
      <c r="D1329" s="1" t="s">
        <v>2316</v>
      </c>
      <c r="E1329" s="1" t="s">
        <v>2788</v>
      </c>
    </row>
    <row r="1330" spans="1:5">
      <c r="A1330" s="1" t="s">
        <v>1442</v>
      </c>
      <c r="B1330" s="1" t="s">
        <v>1503</v>
      </c>
      <c r="C1330" s="1" t="s">
        <v>1805</v>
      </c>
      <c r="D1330" s="1" t="s">
        <v>2317</v>
      </c>
      <c r="E1330" s="1" t="s">
        <v>2789</v>
      </c>
    </row>
    <row r="1331" spans="1:5">
      <c r="A1331" s="1" t="s">
        <v>1442</v>
      </c>
      <c r="B1331" s="1" t="s">
        <v>1504</v>
      </c>
      <c r="C1331" s="1" t="s">
        <v>1806</v>
      </c>
      <c r="D1331" s="1" t="s">
        <v>2318</v>
      </c>
      <c r="E1331" s="1" t="s">
        <v>2790</v>
      </c>
    </row>
    <row r="1332" spans="1:5">
      <c r="A1332" s="1" t="s">
        <v>1442</v>
      </c>
      <c r="B1332" s="1" t="s">
        <v>598</v>
      </c>
      <c r="C1332" s="1" t="s">
        <v>1807</v>
      </c>
      <c r="D1332" s="1" t="s">
        <v>2319</v>
      </c>
      <c r="E1332" s="1">
        <v>2335255988</v>
      </c>
    </row>
    <row r="1333" spans="1:5">
      <c r="A1333" s="1" t="s">
        <v>1442</v>
      </c>
      <c r="B1333" s="1" t="s">
        <v>1505</v>
      </c>
      <c r="C1333" s="1" t="s">
        <v>1808</v>
      </c>
      <c r="D1333" s="1" t="s">
        <v>2320</v>
      </c>
      <c r="E1333" s="1">
        <v>8223333410</v>
      </c>
    </row>
    <row r="1334" spans="1:5">
      <c r="A1334" s="1" t="s">
        <v>1442</v>
      </c>
      <c r="B1334" s="1" t="s">
        <v>1505</v>
      </c>
      <c r="C1334" s="1" t="s">
        <v>1809</v>
      </c>
      <c r="D1334" s="1" t="s">
        <v>2321</v>
      </c>
      <c r="E1334" s="1">
        <v>2333346190</v>
      </c>
    </row>
    <row r="1335" spans="1:5">
      <c r="A1335" s="1" t="s">
        <v>1442</v>
      </c>
      <c r="B1335" s="1" t="s">
        <v>1505</v>
      </c>
      <c r="C1335" s="1" t="s">
        <v>1810</v>
      </c>
      <c r="D1335" s="1" t="s">
        <v>2322</v>
      </c>
      <c r="E1335" s="1" t="s">
        <v>2791</v>
      </c>
    </row>
    <row r="1336" spans="1:5">
      <c r="A1336" s="1" t="s">
        <v>1442</v>
      </c>
      <c r="B1336" s="1" t="s">
        <v>1505</v>
      </c>
      <c r="C1336" s="1" t="s">
        <v>1811</v>
      </c>
      <c r="D1336" s="1" t="s">
        <v>2323</v>
      </c>
      <c r="E1336" s="1" t="s">
        <v>1574</v>
      </c>
    </row>
    <row r="1337" spans="1:5">
      <c r="A1337" s="1" t="s">
        <v>1442</v>
      </c>
      <c r="B1337" s="1" t="s">
        <v>1505</v>
      </c>
      <c r="C1337" s="1" t="s">
        <v>1812</v>
      </c>
      <c r="D1337" s="1" t="s">
        <v>2324</v>
      </c>
      <c r="E1337" s="1" t="s">
        <v>2792</v>
      </c>
    </row>
    <row r="1338" spans="1:5">
      <c r="A1338" s="1" t="s">
        <v>1442</v>
      </c>
      <c r="B1338" s="1" t="s">
        <v>606</v>
      </c>
      <c r="C1338" s="1" t="s">
        <v>1813</v>
      </c>
      <c r="D1338" s="1" t="s">
        <v>2325</v>
      </c>
      <c r="E1338" s="1">
        <v>2732255574</v>
      </c>
    </row>
    <row r="1339" spans="1:5">
      <c r="A1339" s="1" t="s">
        <v>1442</v>
      </c>
      <c r="B1339" s="1" t="s">
        <v>606</v>
      </c>
      <c r="C1339" s="1" t="s">
        <v>1814</v>
      </c>
      <c r="D1339" s="1" t="s">
        <v>2326</v>
      </c>
      <c r="E1339" s="1" t="s">
        <v>1574</v>
      </c>
    </row>
    <row r="1340" spans="1:5">
      <c r="A1340" s="1" t="s">
        <v>1442</v>
      </c>
      <c r="B1340" s="1" t="s">
        <v>617</v>
      </c>
      <c r="C1340" s="1" t="s">
        <v>1815</v>
      </c>
      <c r="D1340" s="1" t="s">
        <v>2327</v>
      </c>
      <c r="E1340" s="1" t="s">
        <v>1574</v>
      </c>
    </row>
    <row r="1341" spans="1:5">
      <c r="A1341" s="1" t="s">
        <v>1442</v>
      </c>
      <c r="B1341" s="1" t="s">
        <v>617</v>
      </c>
      <c r="C1341" s="1" t="s">
        <v>1816</v>
      </c>
      <c r="D1341" s="1" t="s">
        <v>2328</v>
      </c>
      <c r="E1341" s="1">
        <v>2334239595</v>
      </c>
    </row>
    <row r="1342" spans="1:5">
      <c r="A1342" s="1" t="s">
        <v>1442</v>
      </c>
      <c r="B1342" s="1" t="s">
        <v>1506</v>
      </c>
      <c r="C1342" s="1" t="s">
        <v>1817</v>
      </c>
      <c r="D1342" s="1" t="s">
        <v>2329</v>
      </c>
      <c r="E1342" s="1">
        <v>2332623434</v>
      </c>
    </row>
    <row r="1343" spans="1:5">
      <c r="A1343" s="1" t="s">
        <v>1442</v>
      </c>
      <c r="B1343" s="1" t="s">
        <v>1507</v>
      </c>
      <c r="C1343" s="1" t="s">
        <v>1818</v>
      </c>
      <c r="D1343" s="1" t="s">
        <v>2330</v>
      </c>
      <c r="E1343" s="1" t="s">
        <v>1574</v>
      </c>
    </row>
    <row r="1344" spans="1:5">
      <c r="A1344" s="1" t="s">
        <v>1442</v>
      </c>
      <c r="B1344" s="1" t="s">
        <v>625</v>
      </c>
      <c r="C1344" s="1" t="s">
        <v>1819</v>
      </c>
      <c r="D1344" s="1" t="s">
        <v>2331</v>
      </c>
      <c r="E1344" s="1" t="s">
        <v>2793</v>
      </c>
    </row>
    <row r="1345" spans="1:5">
      <c r="A1345" s="1" t="s">
        <v>1442</v>
      </c>
      <c r="B1345" s="1" t="s">
        <v>629</v>
      </c>
      <c r="C1345" s="1" t="s">
        <v>1820</v>
      </c>
      <c r="D1345" s="1" t="s">
        <v>2332</v>
      </c>
      <c r="E1345" s="1" t="s">
        <v>2794</v>
      </c>
    </row>
    <row r="1346" spans="1:5">
      <c r="A1346" s="1" t="s">
        <v>1442</v>
      </c>
      <c r="B1346" s="1" t="s">
        <v>629</v>
      </c>
      <c r="C1346" s="1" t="s">
        <v>1821</v>
      </c>
      <c r="D1346" s="1" t="s">
        <v>2333</v>
      </c>
      <c r="E1346" s="1" t="s">
        <v>2795</v>
      </c>
    </row>
    <row r="1347" spans="1:5">
      <c r="A1347" s="1" t="s">
        <v>1442</v>
      </c>
      <c r="B1347" s="1" t="s">
        <v>629</v>
      </c>
      <c r="C1347" s="1" t="s">
        <v>1822</v>
      </c>
      <c r="D1347" s="1" t="s">
        <v>2334</v>
      </c>
      <c r="E1347" s="1" t="s">
        <v>2796</v>
      </c>
    </row>
    <row r="1348" spans="1:5">
      <c r="A1348" s="1" t="s">
        <v>1442</v>
      </c>
      <c r="B1348" s="1" t="s">
        <v>644</v>
      </c>
      <c r="C1348" s="1" t="s">
        <v>1823</v>
      </c>
      <c r="D1348" s="1" t="s">
        <v>2335</v>
      </c>
      <c r="E1348" s="1" t="s">
        <v>2797</v>
      </c>
    </row>
    <row r="1349" spans="1:5">
      <c r="A1349" s="1" t="s">
        <v>1442</v>
      </c>
      <c r="B1349" s="1" t="s">
        <v>644</v>
      </c>
      <c r="C1349" s="1" t="s">
        <v>1824</v>
      </c>
      <c r="D1349" s="1" t="s">
        <v>2336</v>
      </c>
      <c r="E1349" s="1" t="s">
        <v>2798</v>
      </c>
    </row>
    <row r="1350" spans="1:5">
      <c r="A1350" s="1" t="s">
        <v>1442</v>
      </c>
      <c r="B1350" s="1" t="s">
        <v>1508</v>
      </c>
      <c r="C1350" s="1" t="s">
        <v>1825</v>
      </c>
      <c r="D1350" s="1" t="s">
        <v>2337</v>
      </c>
      <c r="E1350" s="1" t="s">
        <v>2799</v>
      </c>
    </row>
    <row r="1351" spans="1:5">
      <c r="A1351" s="1" t="s">
        <v>1442</v>
      </c>
      <c r="B1351" s="1" t="s">
        <v>651</v>
      </c>
      <c r="C1351" s="1" t="s">
        <v>1826</v>
      </c>
      <c r="D1351" s="1" t="s">
        <v>2338</v>
      </c>
      <c r="E1351" s="1" t="s">
        <v>2800</v>
      </c>
    </row>
    <row r="1352" spans="1:5">
      <c r="A1352" s="1" t="s">
        <v>1442</v>
      </c>
      <c r="B1352" s="1" t="s">
        <v>655</v>
      </c>
      <c r="C1352" s="1" t="s">
        <v>1827</v>
      </c>
      <c r="D1352" s="1" t="s">
        <v>2339</v>
      </c>
      <c r="E1352" s="1" t="s">
        <v>1574</v>
      </c>
    </row>
    <row r="1353" spans="1:5">
      <c r="A1353" s="1" t="s">
        <v>1442</v>
      </c>
      <c r="B1353" s="1" t="s">
        <v>1509</v>
      </c>
      <c r="C1353" s="1" t="s">
        <v>1828</v>
      </c>
      <c r="D1353" s="1" t="s">
        <v>2340</v>
      </c>
      <c r="E1353" s="1" t="s">
        <v>2801</v>
      </c>
    </row>
    <row r="1354" spans="1:5">
      <c r="A1354" s="1" t="s">
        <v>1442</v>
      </c>
      <c r="B1354" s="1" t="s">
        <v>1509</v>
      </c>
      <c r="C1354" s="1" t="s">
        <v>1829</v>
      </c>
      <c r="D1354" s="1" t="s">
        <v>2341</v>
      </c>
      <c r="E1354" s="1" t="s">
        <v>2802</v>
      </c>
    </row>
    <row r="1355" spans="1:5">
      <c r="A1355" s="1" t="s">
        <v>1442</v>
      </c>
      <c r="B1355" s="1" t="s">
        <v>1509</v>
      </c>
      <c r="C1355" s="1" t="s">
        <v>1830</v>
      </c>
      <c r="D1355" s="1" t="s">
        <v>2342</v>
      </c>
      <c r="E1355" s="1" t="s">
        <v>2803</v>
      </c>
    </row>
    <row r="1356" spans="1:5">
      <c r="A1356" s="1" t="s">
        <v>1442</v>
      </c>
      <c r="B1356" s="1" t="s">
        <v>1510</v>
      </c>
      <c r="C1356" s="1" t="s">
        <v>1831</v>
      </c>
      <c r="D1356" s="1" t="s">
        <v>2343</v>
      </c>
      <c r="E1356" s="1" t="s">
        <v>2804</v>
      </c>
    </row>
    <row r="1357" spans="1:5">
      <c r="A1357" s="1" t="s">
        <v>1442</v>
      </c>
      <c r="B1357" s="1" t="s">
        <v>1511</v>
      </c>
      <c r="C1357" s="1" t="s">
        <v>1832</v>
      </c>
      <c r="D1357" s="1" t="s">
        <v>2344</v>
      </c>
      <c r="E1357" s="1" t="s">
        <v>2805</v>
      </c>
    </row>
    <row r="1358" spans="1:5">
      <c r="A1358" s="1" t="s">
        <v>1442</v>
      </c>
      <c r="B1358" s="1" t="s">
        <v>1512</v>
      </c>
      <c r="C1358" s="1" t="s">
        <v>1833</v>
      </c>
      <c r="D1358" s="1" t="s">
        <v>2345</v>
      </c>
      <c r="E1358" s="1" t="s">
        <v>2806</v>
      </c>
    </row>
    <row r="1359" spans="1:5">
      <c r="A1359" s="1" t="s">
        <v>1442</v>
      </c>
      <c r="B1359" s="1" t="s">
        <v>671</v>
      </c>
      <c r="C1359" s="1" t="s">
        <v>1834</v>
      </c>
      <c r="D1359" s="1" t="s">
        <v>2346</v>
      </c>
      <c r="E1359" s="1" t="s">
        <v>2807</v>
      </c>
    </row>
    <row r="1360" spans="1:5">
      <c r="A1360" s="1" t="s">
        <v>1442</v>
      </c>
      <c r="B1360" s="1" t="s">
        <v>671</v>
      </c>
      <c r="C1360" s="1" t="s">
        <v>1835</v>
      </c>
      <c r="D1360" s="1" t="s">
        <v>2347</v>
      </c>
      <c r="E1360" s="1" t="s">
        <v>2808</v>
      </c>
    </row>
    <row r="1361" spans="1:5">
      <c r="A1361" s="1" t="s">
        <v>1442</v>
      </c>
      <c r="B1361" s="1" t="s">
        <v>1513</v>
      </c>
      <c r="C1361" s="1" t="s">
        <v>1836</v>
      </c>
      <c r="D1361" s="1" t="s">
        <v>2348</v>
      </c>
      <c r="E1361" s="1" t="s">
        <v>2809</v>
      </c>
    </row>
    <row r="1362" spans="1:5">
      <c r="A1362" s="1" t="s">
        <v>1442</v>
      </c>
      <c r="B1362" s="1" t="s">
        <v>1514</v>
      </c>
      <c r="C1362" s="1" t="s">
        <v>1837</v>
      </c>
      <c r="D1362" s="1" t="s">
        <v>2349</v>
      </c>
      <c r="E1362" s="1" t="s">
        <v>2810</v>
      </c>
    </row>
    <row r="1363" spans="1:5">
      <c r="A1363" s="1" t="s">
        <v>1442</v>
      </c>
      <c r="B1363" s="1" t="s">
        <v>1515</v>
      </c>
      <c r="C1363" s="1" t="s">
        <v>1838</v>
      </c>
      <c r="D1363" s="1" t="s">
        <v>2350</v>
      </c>
      <c r="E1363" s="1" t="s">
        <v>2811</v>
      </c>
    </row>
    <row r="1364" spans="1:5">
      <c r="A1364" s="1" t="s">
        <v>1442</v>
      </c>
      <c r="B1364" s="1" t="s">
        <v>1516</v>
      </c>
      <c r="C1364" s="1" t="s">
        <v>1839</v>
      </c>
      <c r="D1364" s="1" t="s">
        <v>2351</v>
      </c>
      <c r="E1364" s="1" t="s">
        <v>2812</v>
      </c>
    </row>
    <row r="1365" spans="1:5">
      <c r="A1365" s="1" t="s">
        <v>1442</v>
      </c>
      <c r="B1365" s="1" t="s">
        <v>1517</v>
      </c>
      <c r="C1365" s="1" t="s">
        <v>1840</v>
      </c>
      <c r="D1365" s="1" t="s">
        <v>2352</v>
      </c>
      <c r="E1365" s="1" t="s">
        <v>2813</v>
      </c>
    </row>
    <row r="1366" spans="1:5">
      <c r="A1366" s="1" t="s">
        <v>1442</v>
      </c>
      <c r="B1366" s="1" t="s">
        <v>1518</v>
      </c>
      <c r="C1366" s="1" t="s">
        <v>1841</v>
      </c>
      <c r="D1366" s="1" t="s">
        <v>2353</v>
      </c>
      <c r="E1366" s="1" t="s">
        <v>2814</v>
      </c>
    </row>
    <row r="1367" spans="1:5">
      <c r="A1367" s="1" t="s">
        <v>1442</v>
      </c>
      <c r="B1367" s="1" t="s">
        <v>1518</v>
      </c>
      <c r="C1367" s="1" t="s">
        <v>1842</v>
      </c>
      <c r="D1367" s="1" t="s">
        <v>2354</v>
      </c>
      <c r="E1367" s="1" t="s">
        <v>2814</v>
      </c>
    </row>
    <row r="1368" spans="1:5">
      <c r="A1368" s="1" t="s">
        <v>1442</v>
      </c>
      <c r="B1368" s="1" t="s">
        <v>1358</v>
      </c>
      <c r="C1368" s="1" t="s">
        <v>1843</v>
      </c>
      <c r="D1368" s="1" t="s">
        <v>2355</v>
      </c>
      <c r="E1368" s="1" t="s">
        <v>2815</v>
      </c>
    </row>
    <row r="1369" spans="1:5">
      <c r="A1369" s="1" t="s">
        <v>1442</v>
      </c>
      <c r="B1369" s="1" t="s">
        <v>1358</v>
      </c>
      <c r="C1369" s="1" t="s">
        <v>1844</v>
      </c>
      <c r="D1369" s="1" t="s">
        <v>2356</v>
      </c>
      <c r="E1369" s="1" t="s">
        <v>2816</v>
      </c>
    </row>
    <row r="1370" spans="1:5">
      <c r="A1370" s="1" t="s">
        <v>1442</v>
      </c>
      <c r="B1370" s="1" t="s">
        <v>1358</v>
      </c>
      <c r="C1370" s="1" t="s">
        <v>1845</v>
      </c>
      <c r="D1370" s="1" t="s">
        <v>2357</v>
      </c>
      <c r="E1370" s="1" t="s">
        <v>2817</v>
      </c>
    </row>
    <row r="1371" spans="1:5">
      <c r="A1371" s="1" t="s">
        <v>1442</v>
      </c>
      <c r="B1371" s="1" t="s">
        <v>1358</v>
      </c>
      <c r="C1371" s="1" t="s">
        <v>1846</v>
      </c>
      <c r="D1371" s="1" t="s">
        <v>2358</v>
      </c>
      <c r="E1371" s="1" t="s">
        <v>2818</v>
      </c>
    </row>
    <row r="1372" spans="1:5">
      <c r="A1372" s="1" t="s">
        <v>1442</v>
      </c>
      <c r="B1372" s="1" t="s">
        <v>1358</v>
      </c>
      <c r="C1372" s="1" t="s">
        <v>1847</v>
      </c>
      <c r="D1372" s="1" t="s">
        <v>2359</v>
      </c>
      <c r="E1372" s="1" t="s">
        <v>2819</v>
      </c>
    </row>
    <row r="1373" spans="1:5">
      <c r="A1373" s="1" t="s">
        <v>1442</v>
      </c>
      <c r="B1373" s="1" t="s">
        <v>1358</v>
      </c>
      <c r="C1373" s="1" t="s">
        <v>1848</v>
      </c>
      <c r="D1373" s="1" t="s">
        <v>2360</v>
      </c>
      <c r="E1373" s="1" t="s">
        <v>2820</v>
      </c>
    </row>
    <row r="1374" spans="1:5">
      <c r="A1374" s="1" t="s">
        <v>1442</v>
      </c>
      <c r="B1374" s="1" t="s">
        <v>698</v>
      </c>
      <c r="C1374" s="1" t="s">
        <v>1849</v>
      </c>
      <c r="D1374" s="1" t="s">
        <v>2361</v>
      </c>
      <c r="E1374" s="1">
        <v>2813664005</v>
      </c>
    </row>
    <row r="1375" spans="1:5">
      <c r="A1375" s="1" t="s">
        <v>1442</v>
      </c>
      <c r="B1375" s="1" t="s">
        <v>720</v>
      </c>
      <c r="C1375" s="1" t="s">
        <v>1850</v>
      </c>
      <c r="D1375" s="1" t="s">
        <v>2362</v>
      </c>
      <c r="E1375" s="1" t="s">
        <v>2821</v>
      </c>
    </row>
    <row r="1376" spans="1:5">
      <c r="A1376" s="1" t="s">
        <v>1442</v>
      </c>
      <c r="B1376" s="1" t="s">
        <v>720</v>
      </c>
      <c r="C1376" s="1" t="s">
        <v>1851</v>
      </c>
      <c r="D1376" s="1" t="s">
        <v>2363</v>
      </c>
      <c r="E1376" s="1" t="s">
        <v>2822</v>
      </c>
    </row>
    <row r="1377" spans="1:5">
      <c r="A1377" s="1" t="s">
        <v>1442</v>
      </c>
      <c r="B1377" s="1" t="s">
        <v>720</v>
      </c>
      <c r="C1377" s="1" t="s">
        <v>1852</v>
      </c>
      <c r="D1377" s="1" t="s">
        <v>2364</v>
      </c>
      <c r="E1377" s="1" t="s">
        <v>2823</v>
      </c>
    </row>
    <row r="1378" spans="1:5">
      <c r="A1378" s="1" t="s">
        <v>1442</v>
      </c>
      <c r="B1378" s="1" t="s">
        <v>720</v>
      </c>
      <c r="C1378" s="1" t="s">
        <v>1853</v>
      </c>
      <c r="D1378" s="1" t="s">
        <v>2365</v>
      </c>
      <c r="E1378" s="1" t="s">
        <v>2822</v>
      </c>
    </row>
    <row r="1379" spans="1:5">
      <c r="A1379" s="1" t="s">
        <v>1442</v>
      </c>
      <c r="B1379" s="1" t="s">
        <v>720</v>
      </c>
      <c r="C1379" s="1" t="s">
        <v>1854</v>
      </c>
      <c r="D1379" s="1" t="s">
        <v>2366</v>
      </c>
      <c r="E1379" s="1" t="s">
        <v>2824</v>
      </c>
    </row>
    <row r="1380" spans="1:5">
      <c r="A1380" s="1" t="s">
        <v>1442</v>
      </c>
      <c r="B1380" s="1" t="s">
        <v>748</v>
      </c>
      <c r="C1380" s="1" t="s">
        <v>1855</v>
      </c>
      <c r="D1380" s="1" t="s">
        <v>2367</v>
      </c>
      <c r="E1380" s="1" t="s">
        <v>1574</v>
      </c>
    </row>
    <row r="1381" spans="1:5">
      <c r="A1381" s="1" t="s">
        <v>1442</v>
      </c>
      <c r="B1381" s="1" t="s">
        <v>748</v>
      </c>
      <c r="C1381" s="1" t="s">
        <v>1856</v>
      </c>
      <c r="D1381" s="1" t="s">
        <v>2368</v>
      </c>
      <c r="E1381" s="1" t="s">
        <v>2825</v>
      </c>
    </row>
    <row r="1382" spans="1:5">
      <c r="A1382" s="1" t="s">
        <v>1442</v>
      </c>
      <c r="B1382" s="1" t="s">
        <v>752</v>
      </c>
      <c r="C1382" s="1" t="s">
        <v>1857</v>
      </c>
      <c r="D1382" s="1" t="s">
        <v>2369</v>
      </c>
      <c r="E1382" s="1" t="s">
        <v>2826</v>
      </c>
    </row>
    <row r="1383" spans="1:5">
      <c r="A1383" s="1" t="s">
        <v>1442</v>
      </c>
      <c r="B1383" s="1" t="s">
        <v>730</v>
      </c>
      <c r="C1383" s="1" t="s">
        <v>1858</v>
      </c>
      <c r="D1383" s="1" t="s">
        <v>2370</v>
      </c>
      <c r="E1383" s="1" t="s">
        <v>2827</v>
      </c>
    </row>
    <row r="1384" spans="1:5">
      <c r="A1384" s="1" t="s">
        <v>1442</v>
      </c>
      <c r="B1384" s="1" t="s">
        <v>730</v>
      </c>
      <c r="C1384" s="1" t="s">
        <v>1859</v>
      </c>
      <c r="D1384" s="1" t="s">
        <v>2371</v>
      </c>
      <c r="E1384" s="1">
        <v>8733280990</v>
      </c>
    </row>
    <row r="1385" spans="1:5">
      <c r="A1385" s="1" t="s">
        <v>1442</v>
      </c>
      <c r="B1385" s="1" t="s">
        <v>763</v>
      </c>
      <c r="C1385" s="1" t="s">
        <v>1860</v>
      </c>
      <c r="D1385" s="1" t="s">
        <v>2372</v>
      </c>
      <c r="E1385" s="1" t="s">
        <v>2828</v>
      </c>
    </row>
    <row r="1386" spans="1:5">
      <c r="A1386" s="1" t="s">
        <v>1442</v>
      </c>
      <c r="B1386" s="1" t="s">
        <v>763</v>
      </c>
      <c r="C1386" s="1" t="s">
        <v>1861</v>
      </c>
      <c r="D1386" s="1" t="s">
        <v>2373</v>
      </c>
      <c r="E1386" s="1" t="s">
        <v>2829</v>
      </c>
    </row>
    <row r="1387" spans="1:5">
      <c r="A1387" s="1" t="s">
        <v>1442</v>
      </c>
      <c r="B1387" s="1" t="s">
        <v>763</v>
      </c>
      <c r="C1387" s="1" t="s">
        <v>1862</v>
      </c>
      <c r="D1387" s="1" t="s">
        <v>2374</v>
      </c>
      <c r="E1387" s="1" t="s">
        <v>2830</v>
      </c>
    </row>
    <row r="1388" spans="1:5">
      <c r="A1388" s="1" t="s">
        <v>1442</v>
      </c>
      <c r="B1388" s="1" t="s">
        <v>767</v>
      </c>
      <c r="C1388" s="1" t="s">
        <v>1863</v>
      </c>
      <c r="D1388" s="1" t="s">
        <v>2375</v>
      </c>
      <c r="E1388" s="1" t="s">
        <v>2831</v>
      </c>
    </row>
    <row r="1389" spans="1:5">
      <c r="A1389" s="1" t="s">
        <v>1442</v>
      </c>
      <c r="B1389" s="1" t="s">
        <v>767</v>
      </c>
      <c r="C1389" s="1" t="s">
        <v>1864</v>
      </c>
      <c r="D1389" s="1" t="s">
        <v>2376</v>
      </c>
      <c r="E1389" s="1" t="s">
        <v>2832</v>
      </c>
    </row>
    <row r="1390" spans="1:5">
      <c r="A1390" s="1" t="s">
        <v>1442</v>
      </c>
      <c r="B1390" s="1" t="s">
        <v>1519</v>
      </c>
      <c r="C1390" s="1" t="s">
        <v>1865</v>
      </c>
      <c r="D1390" s="1" t="s">
        <v>2377</v>
      </c>
      <c r="E1390" s="1" t="s">
        <v>2833</v>
      </c>
    </row>
    <row r="1391" spans="1:5">
      <c r="A1391" s="1" t="s">
        <v>1442</v>
      </c>
      <c r="B1391" s="1" t="s">
        <v>1520</v>
      </c>
      <c r="C1391" s="1" t="s">
        <v>1866</v>
      </c>
      <c r="D1391" s="1" t="s">
        <v>2378</v>
      </c>
      <c r="E1391" s="1" t="s">
        <v>2834</v>
      </c>
    </row>
    <row r="1392" spans="1:5">
      <c r="A1392" s="1" t="s">
        <v>1442</v>
      </c>
      <c r="B1392" s="1" t="s">
        <v>1521</v>
      </c>
      <c r="C1392" s="1" t="s">
        <v>1867</v>
      </c>
      <c r="D1392" s="1" t="s">
        <v>2379</v>
      </c>
      <c r="E1392" s="1" t="s">
        <v>2835</v>
      </c>
    </row>
    <row r="1393" spans="1:5">
      <c r="A1393" s="1" t="s">
        <v>1442</v>
      </c>
      <c r="B1393" s="1" t="s">
        <v>779</v>
      </c>
      <c r="C1393" s="1" t="s">
        <v>1868</v>
      </c>
      <c r="D1393" s="1" t="s">
        <v>2380</v>
      </c>
      <c r="E1393" s="1" t="s">
        <v>2836</v>
      </c>
    </row>
    <row r="1394" spans="1:5">
      <c r="A1394" s="1" t="s">
        <v>1442</v>
      </c>
      <c r="B1394" s="1" t="s">
        <v>783</v>
      </c>
      <c r="C1394" s="1" t="s">
        <v>1869</v>
      </c>
      <c r="D1394" s="1" t="s">
        <v>2381</v>
      </c>
      <c r="E1394" s="1" t="s">
        <v>2837</v>
      </c>
    </row>
    <row r="1395" spans="1:5">
      <c r="A1395" s="1" t="s">
        <v>1442</v>
      </c>
      <c r="B1395" s="1" t="s">
        <v>787</v>
      </c>
      <c r="C1395" s="1" t="s">
        <v>1870</v>
      </c>
      <c r="D1395" s="1" t="s">
        <v>2382</v>
      </c>
      <c r="E1395" s="1" t="s">
        <v>2838</v>
      </c>
    </row>
    <row r="1396" spans="1:5">
      <c r="A1396" s="1" t="s">
        <v>1442</v>
      </c>
      <c r="B1396" s="1" t="s">
        <v>797</v>
      </c>
      <c r="C1396" s="1" t="s">
        <v>1871</v>
      </c>
      <c r="D1396" s="1" t="s">
        <v>2383</v>
      </c>
      <c r="E1396" s="1" t="s">
        <v>2839</v>
      </c>
    </row>
    <row r="1397" spans="1:5">
      <c r="A1397" s="1" t="s">
        <v>1442</v>
      </c>
      <c r="B1397" s="1" t="s">
        <v>804</v>
      </c>
      <c r="C1397" s="1" t="s">
        <v>1872</v>
      </c>
      <c r="D1397" s="1" t="s">
        <v>2384</v>
      </c>
      <c r="E1397" s="1" t="s">
        <v>2840</v>
      </c>
    </row>
    <row r="1398" spans="1:5">
      <c r="A1398" s="1" t="s">
        <v>1442</v>
      </c>
      <c r="B1398" s="1" t="s">
        <v>1522</v>
      </c>
      <c r="C1398" s="1" t="s">
        <v>1873</v>
      </c>
      <c r="D1398" s="1" t="s">
        <v>2385</v>
      </c>
      <c r="E1398" s="1" t="s">
        <v>2841</v>
      </c>
    </row>
    <row r="1399" spans="1:5">
      <c r="A1399" s="1" t="s">
        <v>1442</v>
      </c>
      <c r="B1399" s="1" t="s">
        <v>1523</v>
      </c>
      <c r="C1399" s="1" t="s">
        <v>1874</v>
      </c>
      <c r="D1399" s="1" t="s">
        <v>2386</v>
      </c>
      <c r="E1399" s="1" t="s">
        <v>2842</v>
      </c>
    </row>
    <row r="1400" spans="1:5">
      <c r="A1400" s="1" t="s">
        <v>1442</v>
      </c>
      <c r="B1400" s="1" t="s">
        <v>771</v>
      </c>
      <c r="C1400" s="1" t="s">
        <v>1875</v>
      </c>
      <c r="D1400" s="1" t="s">
        <v>2387</v>
      </c>
      <c r="E1400" s="1" t="s">
        <v>2843</v>
      </c>
    </row>
    <row r="1401" spans="1:5">
      <c r="A1401" s="1" t="s">
        <v>1442</v>
      </c>
      <c r="B1401" s="1" t="s">
        <v>771</v>
      </c>
      <c r="C1401" s="1" t="s">
        <v>1876</v>
      </c>
      <c r="D1401" s="1" t="s">
        <v>2388</v>
      </c>
      <c r="E1401" s="1" t="s">
        <v>2844</v>
      </c>
    </row>
    <row r="1402" spans="1:5">
      <c r="A1402" s="1" t="s">
        <v>1442</v>
      </c>
      <c r="B1402" s="1" t="s">
        <v>771</v>
      </c>
      <c r="C1402" s="1" t="s">
        <v>1877</v>
      </c>
      <c r="D1402" s="1" t="s">
        <v>2389</v>
      </c>
      <c r="E1402" s="1" t="s">
        <v>2845</v>
      </c>
    </row>
    <row r="1403" spans="1:5">
      <c r="A1403" s="1" t="s">
        <v>1442</v>
      </c>
      <c r="B1403" s="1" t="s">
        <v>771</v>
      </c>
      <c r="C1403" s="1" t="s">
        <v>1878</v>
      </c>
      <c r="D1403" s="1" t="s">
        <v>2390</v>
      </c>
      <c r="E1403" s="1" t="s">
        <v>2846</v>
      </c>
    </row>
    <row r="1404" spans="1:5">
      <c r="A1404" s="1" t="s">
        <v>1442</v>
      </c>
      <c r="B1404" s="1" t="s">
        <v>771</v>
      </c>
      <c r="C1404" s="1" t="s">
        <v>1879</v>
      </c>
      <c r="D1404" s="1" t="s">
        <v>2391</v>
      </c>
      <c r="E1404" s="1" t="s">
        <v>2847</v>
      </c>
    </row>
    <row r="1405" spans="1:5">
      <c r="A1405" s="1" t="s">
        <v>1442</v>
      </c>
      <c r="B1405" s="1" t="s">
        <v>1524</v>
      </c>
      <c r="C1405" s="1" t="s">
        <v>1880</v>
      </c>
      <c r="D1405" s="1" t="s">
        <v>2392</v>
      </c>
      <c r="E1405" s="1" t="s">
        <v>2848</v>
      </c>
    </row>
    <row r="1406" spans="1:5">
      <c r="A1406" s="1" t="s">
        <v>1442</v>
      </c>
      <c r="B1406" s="1" t="s">
        <v>1524</v>
      </c>
      <c r="C1406" s="1" t="s">
        <v>1881</v>
      </c>
      <c r="D1406" s="1" t="s">
        <v>2393</v>
      </c>
      <c r="E1406" s="1" t="s">
        <v>2849</v>
      </c>
    </row>
    <row r="1407" spans="1:5">
      <c r="A1407" s="1" t="s">
        <v>1442</v>
      </c>
      <c r="B1407" s="1" t="s">
        <v>1524</v>
      </c>
      <c r="C1407" s="1" t="s">
        <v>1882</v>
      </c>
      <c r="D1407" s="1" t="s">
        <v>2394</v>
      </c>
      <c r="E1407" s="1" t="s">
        <v>2850</v>
      </c>
    </row>
    <row r="1408" spans="1:5">
      <c r="A1408" s="1" t="s">
        <v>1442</v>
      </c>
      <c r="B1408" s="1" t="s">
        <v>1525</v>
      </c>
      <c r="C1408" s="1" t="s">
        <v>1883</v>
      </c>
      <c r="D1408" s="1" t="s">
        <v>2395</v>
      </c>
      <c r="E1408" s="1" t="s">
        <v>2851</v>
      </c>
    </row>
    <row r="1409" spans="1:5">
      <c r="A1409" s="1" t="s">
        <v>1442</v>
      </c>
      <c r="B1409" s="1" t="s">
        <v>1525</v>
      </c>
      <c r="C1409" s="1" t="s">
        <v>1884</v>
      </c>
      <c r="D1409" s="1" t="s">
        <v>2396</v>
      </c>
      <c r="E1409" s="1" t="s">
        <v>1574</v>
      </c>
    </row>
    <row r="1410" spans="1:5">
      <c r="A1410" s="1" t="s">
        <v>1442</v>
      </c>
      <c r="B1410" s="1" t="s">
        <v>1526</v>
      </c>
      <c r="C1410" s="1" t="s">
        <v>1885</v>
      </c>
      <c r="D1410" s="1" t="s">
        <v>2397</v>
      </c>
      <c r="E1410" s="1" t="s">
        <v>2852</v>
      </c>
    </row>
    <row r="1411" spans="1:5">
      <c r="A1411" s="1" t="s">
        <v>1442</v>
      </c>
      <c r="B1411" s="1" t="s">
        <v>1527</v>
      </c>
      <c r="C1411" s="1" t="s">
        <v>1886</v>
      </c>
      <c r="D1411" s="1" t="s">
        <v>2398</v>
      </c>
      <c r="E1411" s="1" t="s">
        <v>2853</v>
      </c>
    </row>
    <row r="1412" spans="1:5">
      <c r="A1412" s="1" t="s">
        <v>1442</v>
      </c>
      <c r="B1412" s="1" t="s">
        <v>1527</v>
      </c>
      <c r="C1412" s="1" t="s">
        <v>1887</v>
      </c>
      <c r="D1412" s="1" t="s">
        <v>2399</v>
      </c>
      <c r="E1412" s="1" t="s">
        <v>2854</v>
      </c>
    </row>
    <row r="1413" spans="1:5">
      <c r="A1413" s="1" t="s">
        <v>1442</v>
      </c>
      <c r="B1413" s="1" t="s">
        <v>819</v>
      </c>
      <c r="C1413" s="1" t="s">
        <v>1888</v>
      </c>
      <c r="D1413" s="1" t="s">
        <v>2400</v>
      </c>
      <c r="E1413" s="1" t="s">
        <v>2855</v>
      </c>
    </row>
    <row r="1414" spans="1:5">
      <c r="A1414" s="1" t="s">
        <v>1442</v>
      </c>
      <c r="B1414" s="1" t="s">
        <v>823</v>
      </c>
      <c r="C1414" s="1" t="s">
        <v>1889</v>
      </c>
      <c r="D1414" s="1" t="s">
        <v>2401</v>
      </c>
      <c r="E1414" s="1" t="s">
        <v>2856</v>
      </c>
    </row>
    <row r="1415" spans="1:5">
      <c r="A1415" s="1" t="s">
        <v>1442</v>
      </c>
      <c r="B1415" s="1" t="s">
        <v>823</v>
      </c>
      <c r="C1415" s="1" t="s">
        <v>1890</v>
      </c>
      <c r="D1415" s="1" t="s">
        <v>2402</v>
      </c>
      <c r="E1415" s="1" t="s">
        <v>2857</v>
      </c>
    </row>
    <row r="1416" spans="1:5">
      <c r="A1416" s="1" t="s">
        <v>1442</v>
      </c>
      <c r="B1416" s="1" t="s">
        <v>1528</v>
      </c>
      <c r="C1416" s="1" t="s">
        <v>1891</v>
      </c>
      <c r="D1416" s="1" t="s">
        <v>2403</v>
      </c>
      <c r="E1416" s="1" t="s">
        <v>2858</v>
      </c>
    </row>
    <row r="1417" spans="1:5">
      <c r="A1417" s="1" t="s">
        <v>1442</v>
      </c>
      <c r="B1417" s="1" t="s">
        <v>815</v>
      </c>
      <c r="C1417" s="1" t="s">
        <v>1892</v>
      </c>
      <c r="D1417" s="1" t="s">
        <v>2404</v>
      </c>
      <c r="E1417" s="1" t="s">
        <v>2859</v>
      </c>
    </row>
    <row r="1418" spans="1:5">
      <c r="A1418" s="1" t="s">
        <v>1442</v>
      </c>
      <c r="B1418" s="1" t="s">
        <v>815</v>
      </c>
      <c r="C1418" s="1" t="s">
        <v>1893</v>
      </c>
      <c r="D1418" s="1" t="s">
        <v>2405</v>
      </c>
      <c r="E1418" s="1" t="s">
        <v>2860</v>
      </c>
    </row>
    <row r="1419" spans="1:5">
      <c r="A1419" s="1" t="s">
        <v>1442</v>
      </c>
      <c r="B1419" s="1" t="s">
        <v>815</v>
      </c>
      <c r="C1419" s="1" t="s">
        <v>1894</v>
      </c>
      <c r="D1419" s="1" t="s">
        <v>2406</v>
      </c>
      <c r="E1419" s="1" t="s">
        <v>2861</v>
      </c>
    </row>
    <row r="1420" spans="1:5">
      <c r="A1420" s="1" t="s">
        <v>1442</v>
      </c>
      <c r="B1420" s="1" t="s">
        <v>815</v>
      </c>
      <c r="C1420" s="1" t="s">
        <v>1895</v>
      </c>
      <c r="D1420" s="1" t="s">
        <v>2407</v>
      </c>
      <c r="E1420" s="1" t="s">
        <v>2862</v>
      </c>
    </row>
    <row r="1421" spans="1:5">
      <c r="A1421" s="1" t="s">
        <v>1442</v>
      </c>
      <c r="B1421" s="1" t="s">
        <v>815</v>
      </c>
      <c r="C1421" s="1" t="s">
        <v>1896</v>
      </c>
      <c r="D1421" s="1" t="s">
        <v>2408</v>
      </c>
      <c r="E1421" s="1" t="s">
        <v>1574</v>
      </c>
    </row>
    <row r="1422" spans="1:5">
      <c r="A1422" s="1" t="s">
        <v>1442</v>
      </c>
      <c r="B1422" s="1" t="s">
        <v>1529</v>
      </c>
      <c r="C1422" s="1" t="s">
        <v>1897</v>
      </c>
      <c r="D1422" s="1" t="s">
        <v>2409</v>
      </c>
      <c r="E1422" s="1" t="s">
        <v>2863</v>
      </c>
    </row>
    <row r="1423" spans="1:5">
      <c r="A1423" s="1" t="s">
        <v>1442</v>
      </c>
      <c r="B1423" s="1" t="s">
        <v>830</v>
      </c>
      <c r="C1423" s="1" t="s">
        <v>1898</v>
      </c>
      <c r="D1423" s="1" t="s">
        <v>2410</v>
      </c>
      <c r="E1423" s="1" t="s">
        <v>2864</v>
      </c>
    </row>
    <row r="1424" spans="1:5">
      <c r="A1424" s="1" t="s">
        <v>1442</v>
      </c>
      <c r="B1424" s="1" t="s">
        <v>830</v>
      </c>
      <c r="C1424" s="1" t="s">
        <v>1899</v>
      </c>
      <c r="D1424" s="1" t="s">
        <v>2411</v>
      </c>
      <c r="E1424" s="1" t="s">
        <v>2865</v>
      </c>
    </row>
    <row r="1425" spans="1:5">
      <c r="A1425" s="1" t="s">
        <v>1442</v>
      </c>
      <c r="B1425" s="1" t="s">
        <v>834</v>
      </c>
      <c r="C1425" s="1" t="s">
        <v>1900</v>
      </c>
      <c r="D1425" s="1" t="s">
        <v>2412</v>
      </c>
      <c r="E1425" s="1" t="s">
        <v>2866</v>
      </c>
    </row>
    <row r="1426" spans="1:5">
      <c r="A1426" s="1" t="s">
        <v>1442</v>
      </c>
      <c r="B1426" s="1" t="s">
        <v>838</v>
      </c>
      <c r="C1426" s="1" t="s">
        <v>1901</v>
      </c>
      <c r="D1426" s="1" t="s">
        <v>2413</v>
      </c>
      <c r="E1426" s="1" t="s">
        <v>2867</v>
      </c>
    </row>
    <row r="1427" spans="1:5">
      <c r="A1427" s="1" t="s">
        <v>1442</v>
      </c>
      <c r="B1427" s="1" t="s">
        <v>1530</v>
      </c>
      <c r="C1427" s="1" t="s">
        <v>1902</v>
      </c>
      <c r="D1427" s="1" t="s">
        <v>2414</v>
      </c>
      <c r="E1427" s="1" t="s">
        <v>2868</v>
      </c>
    </row>
    <row r="1428" spans="1:5">
      <c r="A1428" s="1" t="s">
        <v>1442</v>
      </c>
      <c r="B1428" s="1" t="s">
        <v>1530</v>
      </c>
      <c r="C1428" s="1" t="s">
        <v>1903</v>
      </c>
      <c r="D1428" s="1" t="s">
        <v>2415</v>
      </c>
      <c r="E1428" s="1">
        <v>7433346573</v>
      </c>
    </row>
    <row r="1429" spans="1:5">
      <c r="A1429" s="1" t="s">
        <v>1442</v>
      </c>
      <c r="B1429" s="1" t="s">
        <v>1530</v>
      </c>
      <c r="C1429" s="1" t="s">
        <v>1904</v>
      </c>
      <c r="D1429" s="1" t="s">
        <v>2416</v>
      </c>
      <c r="E1429" s="1" t="s">
        <v>2869</v>
      </c>
    </row>
    <row r="1430" spans="1:5">
      <c r="A1430" s="1" t="s">
        <v>1442</v>
      </c>
      <c r="B1430" s="1" t="s">
        <v>1530</v>
      </c>
      <c r="C1430" s="1" t="s">
        <v>1905</v>
      </c>
      <c r="D1430" s="1" t="s">
        <v>2417</v>
      </c>
      <c r="E1430" s="1" t="s">
        <v>2870</v>
      </c>
    </row>
    <row r="1431" spans="1:5">
      <c r="A1431" s="1" t="s">
        <v>1442</v>
      </c>
      <c r="B1431" s="1" t="s">
        <v>1361</v>
      </c>
      <c r="C1431" s="1" t="s">
        <v>1906</v>
      </c>
      <c r="D1431" s="1" t="s">
        <v>2418</v>
      </c>
      <c r="E1431" s="1" t="s">
        <v>2871</v>
      </c>
    </row>
    <row r="1432" spans="1:5">
      <c r="A1432" s="1" t="s">
        <v>1442</v>
      </c>
      <c r="B1432" s="1" t="s">
        <v>857</v>
      </c>
      <c r="C1432" s="1" t="s">
        <v>1907</v>
      </c>
      <c r="D1432" s="1" t="s">
        <v>2419</v>
      </c>
      <c r="E1432" s="1" t="s">
        <v>2872</v>
      </c>
    </row>
    <row r="1433" spans="1:5">
      <c r="A1433" s="1" t="s">
        <v>1442</v>
      </c>
      <c r="B1433" s="1" t="s">
        <v>864</v>
      </c>
      <c r="C1433" s="1" t="s">
        <v>1908</v>
      </c>
      <c r="D1433" s="1" t="s">
        <v>2420</v>
      </c>
      <c r="E1433" s="1" t="s">
        <v>2873</v>
      </c>
    </row>
    <row r="1434" spans="1:5">
      <c r="A1434" s="1" t="s">
        <v>1442</v>
      </c>
      <c r="B1434" s="1" t="s">
        <v>864</v>
      </c>
      <c r="C1434" s="1" t="s">
        <v>1909</v>
      </c>
      <c r="D1434" s="1" t="s">
        <v>2421</v>
      </c>
      <c r="E1434" s="1" t="s">
        <v>2874</v>
      </c>
    </row>
    <row r="1435" spans="1:5">
      <c r="A1435" s="1" t="s">
        <v>1442</v>
      </c>
      <c r="B1435" s="1" t="s">
        <v>1531</v>
      </c>
      <c r="C1435" s="1" t="s">
        <v>1910</v>
      </c>
      <c r="D1435" s="1" t="s">
        <v>2422</v>
      </c>
      <c r="E1435" s="1" t="s">
        <v>2875</v>
      </c>
    </row>
    <row r="1436" spans="1:5">
      <c r="A1436" s="1" t="s">
        <v>1442</v>
      </c>
      <c r="B1436" s="1" t="s">
        <v>1532</v>
      </c>
      <c r="C1436" s="1" t="s">
        <v>1911</v>
      </c>
      <c r="D1436" s="1" t="s">
        <v>2423</v>
      </c>
      <c r="E1436" s="1" t="s">
        <v>2876</v>
      </c>
    </row>
    <row r="1437" spans="1:5">
      <c r="A1437" s="1" t="s">
        <v>1442</v>
      </c>
      <c r="B1437" s="1" t="s">
        <v>1533</v>
      </c>
      <c r="C1437" s="1" t="s">
        <v>1912</v>
      </c>
      <c r="D1437" s="1" t="s">
        <v>2424</v>
      </c>
      <c r="E1437" s="1" t="s">
        <v>2877</v>
      </c>
    </row>
    <row r="1438" spans="1:5">
      <c r="A1438" s="1" t="s">
        <v>1442</v>
      </c>
      <c r="B1438" s="1" t="s">
        <v>872</v>
      </c>
      <c r="C1438" s="1" t="s">
        <v>1913</v>
      </c>
      <c r="D1438" s="1" t="s">
        <v>2425</v>
      </c>
      <c r="E1438" s="1" t="s">
        <v>2878</v>
      </c>
    </row>
    <row r="1439" spans="1:5">
      <c r="A1439" s="1" t="s">
        <v>1442</v>
      </c>
      <c r="B1439" s="1" t="s">
        <v>872</v>
      </c>
      <c r="C1439" s="1" t="s">
        <v>1914</v>
      </c>
      <c r="D1439" s="1" t="s">
        <v>2426</v>
      </c>
      <c r="E1439" s="1" t="s">
        <v>2879</v>
      </c>
    </row>
    <row r="1440" spans="1:5">
      <c r="A1440" s="1" t="s">
        <v>1442</v>
      </c>
      <c r="B1440" s="1" t="s">
        <v>1534</v>
      </c>
      <c r="C1440" s="1" t="s">
        <v>1915</v>
      </c>
      <c r="D1440" s="1" t="s">
        <v>2427</v>
      </c>
      <c r="E1440" s="1" t="s">
        <v>2880</v>
      </c>
    </row>
    <row r="1441" spans="1:5">
      <c r="A1441" s="1" t="s">
        <v>1442</v>
      </c>
      <c r="B1441" s="1" t="s">
        <v>1535</v>
      </c>
      <c r="C1441" s="1" t="s">
        <v>1916</v>
      </c>
      <c r="D1441" s="1" t="s">
        <v>2428</v>
      </c>
      <c r="E1441" s="1" t="s">
        <v>2881</v>
      </c>
    </row>
    <row r="1442" spans="1:5">
      <c r="A1442" s="1" t="s">
        <v>1442</v>
      </c>
      <c r="B1442" s="1" t="s">
        <v>876</v>
      </c>
      <c r="C1442" s="1" t="s">
        <v>1917</v>
      </c>
      <c r="D1442" s="1" t="s">
        <v>2429</v>
      </c>
      <c r="E1442" s="1" t="s">
        <v>2882</v>
      </c>
    </row>
    <row r="1443" spans="1:5">
      <c r="A1443" s="1" t="s">
        <v>1442</v>
      </c>
      <c r="B1443" s="1" t="s">
        <v>876</v>
      </c>
      <c r="C1443" s="1" t="s">
        <v>1918</v>
      </c>
      <c r="D1443" s="1" t="s">
        <v>2430</v>
      </c>
      <c r="E1443" s="1" t="s">
        <v>2883</v>
      </c>
    </row>
    <row r="1444" spans="1:5">
      <c r="A1444" s="1" t="s">
        <v>1442</v>
      </c>
      <c r="B1444" s="1" t="s">
        <v>876</v>
      </c>
      <c r="C1444" s="1" t="s">
        <v>1919</v>
      </c>
      <c r="D1444" s="1" t="s">
        <v>2431</v>
      </c>
      <c r="E1444" s="1" t="s">
        <v>2884</v>
      </c>
    </row>
    <row r="1445" spans="1:5">
      <c r="A1445" s="1" t="s">
        <v>1442</v>
      </c>
      <c r="B1445" s="1" t="s">
        <v>890</v>
      </c>
      <c r="C1445" s="1" t="s">
        <v>1920</v>
      </c>
      <c r="D1445" s="1" t="s">
        <v>2432</v>
      </c>
      <c r="E1445" s="1" t="s">
        <v>2885</v>
      </c>
    </row>
    <row r="1446" spans="1:5">
      <c r="A1446" s="1" t="s">
        <v>1442</v>
      </c>
      <c r="B1446" s="1" t="s">
        <v>890</v>
      </c>
      <c r="C1446" s="1" t="s">
        <v>1921</v>
      </c>
      <c r="D1446" s="1" t="s">
        <v>2433</v>
      </c>
      <c r="E1446" s="1" t="s">
        <v>1574</v>
      </c>
    </row>
    <row r="1447" spans="1:5">
      <c r="A1447" s="1" t="s">
        <v>1442</v>
      </c>
      <c r="B1447" s="1" t="s">
        <v>890</v>
      </c>
      <c r="C1447" s="1" t="s">
        <v>1922</v>
      </c>
      <c r="D1447" s="1" t="s">
        <v>2434</v>
      </c>
      <c r="E1447" s="1" t="s">
        <v>2886</v>
      </c>
    </row>
    <row r="1448" spans="1:5">
      <c r="A1448" s="1" t="s">
        <v>1442</v>
      </c>
      <c r="B1448" s="1" t="s">
        <v>1536</v>
      </c>
      <c r="C1448" s="1" t="s">
        <v>1923</v>
      </c>
      <c r="D1448" s="1" t="s">
        <v>2435</v>
      </c>
      <c r="E1448" s="1" t="s">
        <v>2887</v>
      </c>
    </row>
    <row r="1449" spans="1:5">
      <c r="A1449" s="1" t="s">
        <v>1442</v>
      </c>
      <c r="B1449" s="1" t="s">
        <v>903</v>
      </c>
      <c r="C1449" s="1" t="s">
        <v>1924</v>
      </c>
      <c r="D1449" s="1" t="s">
        <v>2436</v>
      </c>
      <c r="E1449" s="1" t="s">
        <v>2888</v>
      </c>
    </row>
    <row r="1450" spans="1:5">
      <c r="A1450" s="1" t="s">
        <v>1442</v>
      </c>
      <c r="B1450" s="1" t="s">
        <v>907</v>
      </c>
      <c r="C1450" s="1" t="s">
        <v>1925</v>
      </c>
      <c r="D1450" s="1" t="s">
        <v>2437</v>
      </c>
      <c r="E1450" s="1" t="s">
        <v>2889</v>
      </c>
    </row>
    <row r="1451" spans="1:5">
      <c r="A1451" s="1" t="s">
        <v>1442</v>
      </c>
      <c r="B1451" s="1" t="s">
        <v>907</v>
      </c>
      <c r="C1451" s="1" t="s">
        <v>1926</v>
      </c>
      <c r="D1451" s="1" t="s">
        <v>2438</v>
      </c>
      <c r="E1451" s="1" t="s">
        <v>2890</v>
      </c>
    </row>
    <row r="1452" spans="1:5">
      <c r="A1452" s="1" t="s">
        <v>1442</v>
      </c>
      <c r="B1452" s="1" t="s">
        <v>1537</v>
      </c>
      <c r="C1452" s="1" t="s">
        <v>1927</v>
      </c>
      <c r="D1452" s="1" t="s">
        <v>2439</v>
      </c>
      <c r="E1452" s="1" t="s">
        <v>2891</v>
      </c>
    </row>
    <row r="1453" spans="1:5">
      <c r="A1453" s="1" t="s">
        <v>1442</v>
      </c>
      <c r="B1453" s="1" t="s">
        <v>914</v>
      </c>
      <c r="C1453" s="1" t="s">
        <v>1928</v>
      </c>
      <c r="D1453" s="1" t="s">
        <v>2440</v>
      </c>
      <c r="E1453" s="1" t="s">
        <v>2892</v>
      </c>
    </row>
    <row r="1454" spans="1:5">
      <c r="A1454" s="1" t="s">
        <v>1442</v>
      </c>
      <c r="B1454" s="1" t="s">
        <v>1538</v>
      </c>
      <c r="C1454" s="1" t="s">
        <v>1929</v>
      </c>
      <c r="D1454" s="1" t="s">
        <v>2441</v>
      </c>
      <c r="E1454" s="1" t="s">
        <v>2893</v>
      </c>
    </row>
    <row r="1455" spans="1:5">
      <c r="A1455" s="1" t="s">
        <v>1442</v>
      </c>
      <c r="B1455" s="1" t="s">
        <v>894</v>
      </c>
      <c r="C1455" s="1" t="s">
        <v>1930</v>
      </c>
      <c r="D1455" s="1" t="s">
        <v>2442</v>
      </c>
      <c r="E1455" s="1" t="s">
        <v>2894</v>
      </c>
    </row>
    <row r="1456" spans="1:5">
      <c r="A1456" s="1" t="s">
        <v>1442</v>
      </c>
      <c r="B1456" s="1" t="s">
        <v>894</v>
      </c>
      <c r="C1456" s="1" t="s">
        <v>1931</v>
      </c>
      <c r="D1456" s="1" t="s">
        <v>2443</v>
      </c>
      <c r="E1456" s="1" t="s">
        <v>2895</v>
      </c>
    </row>
    <row r="1457" spans="1:5">
      <c r="A1457" s="1" t="s">
        <v>1442</v>
      </c>
      <c r="B1457" s="1" t="s">
        <v>894</v>
      </c>
      <c r="C1457" s="1" t="s">
        <v>1932</v>
      </c>
      <c r="D1457" s="1" t="s">
        <v>2444</v>
      </c>
      <c r="E1457" s="1" t="s">
        <v>2896</v>
      </c>
    </row>
    <row r="1458" spans="1:5">
      <c r="A1458" s="1" t="s">
        <v>1442</v>
      </c>
      <c r="B1458" s="1" t="s">
        <v>1362</v>
      </c>
      <c r="C1458" s="1" t="s">
        <v>1933</v>
      </c>
      <c r="D1458" s="1" t="s">
        <v>2445</v>
      </c>
      <c r="E1458" s="1" t="s">
        <v>2897</v>
      </c>
    </row>
    <row r="1459" spans="1:5">
      <c r="A1459" s="1" t="s">
        <v>1442</v>
      </c>
      <c r="B1459" s="1" t="s">
        <v>1539</v>
      </c>
      <c r="C1459" s="1" t="s">
        <v>1934</v>
      </c>
      <c r="D1459" s="1" t="s">
        <v>2446</v>
      </c>
      <c r="E1459" s="1" t="s">
        <v>2898</v>
      </c>
    </row>
    <row r="1460" spans="1:5">
      <c r="A1460" s="1" t="s">
        <v>1442</v>
      </c>
      <c r="B1460" s="1" t="s">
        <v>923</v>
      </c>
      <c r="C1460" s="1" t="s">
        <v>1935</v>
      </c>
      <c r="D1460" s="1" t="s">
        <v>2447</v>
      </c>
      <c r="E1460" s="1" t="s">
        <v>2899</v>
      </c>
    </row>
    <row r="1461" spans="1:5">
      <c r="A1461" s="1" t="s">
        <v>1442</v>
      </c>
      <c r="B1461" s="1" t="s">
        <v>1540</v>
      </c>
      <c r="C1461" s="1" t="s">
        <v>1936</v>
      </c>
      <c r="D1461" s="1" t="s">
        <v>2448</v>
      </c>
      <c r="E1461" s="1" t="s">
        <v>2900</v>
      </c>
    </row>
    <row r="1462" spans="1:5">
      <c r="A1462" s="1" t="s">
        <v>1442</v>
      </c>
      <c r="B1462" s="1" t="s">
        <v>1541</v>
      </c>
      <c r="C1462" s="1" t="s">
        <v>1937</v>
      </c>
      <c r="D1462" s="1" t="s">
        <v>2449</v>
      </c>
      <c r="E1462" s="1" t="s">
        <v>2901</v>
      </c>
    </row>
    <row r="1463" spans="1:5">
      <c r="A1463" s="1" t="s">
        <v>1442</v>
      </c>
      <c r="B1463" s="1" t="s">
        <v>1542</v>
      </c>
      <c r="C1463" s="1" t="s">
        <v>1938</v>
      </c>
      <c r="D1463" s="1" t="s">
        <v>2450</v>
      </c>
      <c r="E1463" s="1" t="s">
        <v>2902</v>
      </c>
    </row>
    <row r="1464" spans="1:5">
      <c r="A1464" s="1" t="s">
        <v>1442</v>
      </c>
      <c r="B1464" s="1" t="s">
        <v>1543</v>
      </c>
      <c r="C1464" s="1" t="s">
        <v>1939</v>
      </c>
      <c r="D1464" s="1" t="s">
        <v>2451</v>
      </c>
      <c r="E1464" s="1" t="s">
        <v>2903</v>
      </c>
    </row>
    <row r="1465" spans="1:5">
      <c r="A1465" s="1" t="s">
        <v>1442</v>
      </c>
      <c r="B1465" s="1" t="s">
        <v>1544</v>
      </c>
      <c r="C1465" s="1" t="s">
        <v>1940</v>
      </c>
      <c r="D1465" s="1" t="s">
        <v>2452</v>
      </c>
      <c r="E1465" s="1" t="s">
        <v>2904</v>
      </c>
    </row>
    <row r="1466" spans="1:5">
      <c r="A1466" s="1" t="s">
        <v>1442</v>
      </c>
      <c r="B1466" s="1" t="s">
        <v>1545</v>
      </c>
      <c r="C1466" s="1" t="s">
        <v>1941</v>
      </c>
      <c r="D1466" s="1" t="s">
        <v>2453</v>
      </c>
      <c r="E1466" s="1" t="s">
        <v>2905</v>
      </c>
    </row>
    <row r="1467" spans="1:5">
      <c r="A1467" s="1" t="s">
        <v>1442</v>
      </c>
      <c r="B1467" s="1" t="s">
        <v>1546</v>
      </c>
      <c r="C1467" s="1" t="s">
        <v>1942</v>
      </c>
      <c r="D1467" s="1" t="s">
        <v>2454</v>
      </c>
      <c r="E1467" s="1" t="s">
        <v>2906</v>
      </c>
    </row>
    <row r="1468" spans="1:5">
      <c r="A1468" s="1" t="s">
        <v>1442</v>
      </c>
      <c r="B1468" s="1" t="s">
        <v>1546</v>
      </c>
      <c r="C1468" s="1" t="s">
        <v>1943</v>
      </c>
      <c r="D1468" s="1" t="s">
        <v>2455</v>
      </c>
      <c r="E1468" s="1" t="s">
        <v>2907</v>
      </c>
    </row>
    <row r="1469" spans="1:5">
      <c r="A1469" s="1" t="s">
        <v>1442</v>
      </c>
      <c r="B1469" s="1" t="s">
        <v>942</v>
      </c>
      <c r="C1469" s="1" t="s">
        <v>1944</v>
      </c>
      <c r="D1469" s="1" t="s">
        <v>2456</v>
      </c>
      <c r="E1469" s="1" t="s">
        <v>2908</v>
      </c>
    </row>
    <row r="1470" spans="1:5">
      <c r="A1470" s="1" t="s">
        <v>1442</v>
      </c>
      <c r="B1470" s="1" t="s">
        <v>942</v>
      </c>
      <c r="C1470" s="1" t="s">
        <v>1945</v>
      </c>
      <c r="D1470" s="1" t="s">
        <v>2457</v>
      </c>
      <c r="E1470" s="1" t="s">
        <v>2909</v>
      </c>
    </row>
    <row r="1471" spans="1:5">
      <c r="A1471" s="1" t="s">
        <v>1442</v>
      </c>
      <c r="B1471" s="1" t="s">
        <v>1547</v>
      </c>
      <c r="C1471" s="1" t="s">
        <v>1946</v>
      </c>
      <c r="D1471" s="1" t="s">
        <v>2458</v>
      </c>
      <c r="E1471" s="1" t="s">
        <v>2910</v>
      </c>
    </row>
    <row r="1472" spans="1:5">
      <c r="A1472" s="1" t="s">
        <v>1442</v>
      </c>
      <c r="B1472" s="1" t="s">
        <v>1547</v>
      </c>
      <c r="C1472" s="1" t="s">
        <v>1947</v>
      </c>
      <c r="D1472" s="1" t="s">
        <v>2459</v>
      </c>
      <c r="E1472" s="1" t="s">
        <v>2911</v>
      </c>
    </row>
    <row r="1473" spans="1:5">
      <c r="A1473" s="1" t="s">
        <v>1442</v>
      </c>
      <c r="B1473" s="1" t="s">
        <v>1547</v>
      </c>
      <c r="C1473" s="1" t="s">
        <v>1948</v>
      </c>
      <c r="D1473" s="1" t="s">
        <v>2460</v>
      </c>
      <c r="E1473" s="1" t="s">
        <v>2912</v>
      </c>
    </row>
    <row r="1474" spans="1:5">
      <c r="A1474" s="1" t="s">
        <v>1442</v>
      </c>
      <c r="B1474" s="1" t="s">
        <v>946</v>
      </c>
      <c r="C1474" s="1" t="s">
        <v>1949</v>
      </c>
      <c r="D1474" s="1" t="s">
        <v>2461</v>
      </c>
      <c r="E1474" s="1" t="s">
        <v>2913</v>
      </c>
    </row>
    <row r="1475" spans="1:5">
      <c r="A1475" s="1" t="s">
        <v>1442</v>
      </c>
      <c r="B1475" s="1" t="s">
        <v>946</v>
      </c>
      <c r="C1475" s="1" t="s">
        <v>1950</v>
      </c>
      <c r="D1475" s="1" t="s">
        <v>2462</v>
      </c>
      <c r="E1475" s="1" t="s">
        <v>2914</v>
      </c>
    </row>
    <row r="1476" spans="1:5">
      <c r="A1476" s="1" t="s">
        <v>1442</v>
      </c>
      <c r="B1476" s="1" t="s">
        <v>1548</v>
      </c>
      <c r="C1476" s="1" t="s">
        <v>1951</v>
      </c>
      <c r="D1476" s="1" t="s">
        <v>2463</v>
      </c>
      <c r="E1476" s="1" t="s">
        <v>2915</v>
      </c>
    </row>
    <row r="1477" spans="1:5">
      <c r="A1477" s="1" t="s">
        <v>1442</v>
      </c>
      <c r="B1477" s="1" t="s">
        <v>939</v>
      </c>
      <c r="C1477" s="1" t="s">
        <v>1952</v>
      </c>
      <c r="D1477" s="1" t="s">
        <v>2464</v>
      </c>
      <c r="E1477" s="1" t="s">
        <v>2916</v>
      </c>
    </row>
    <row r="1478" spans="1:5">
      <c r="A1478" s="1" t="s">
        <v>1442</v>
      </c>
      <c r="B1478" s="1" t="s">
        <v>939</v>
      </c>
      <c r="C1478" s="1" t="s">
        <v>1953</v>
      </c>
      <c r="D1478" s="1" t="s">
        <v>2465</v>
      </c>
      <c r="E1478" s="1" t="s">
        <v>2917</v>
      </c>
    </row>
    <row r="1479" spans="1:5">
      <c r="A1479" s="1" t="s">
        <v>1442</v>
      </c>
      <c r="B1479" s="1" t="s">
        <v>939</v>
      </c>
      <c r="C1479" s="1" t="s">
        <v>1954</v>
      </c>
      <c r="D1479" s="1" t="s">
        <v>2466</v>
      </c>
      <c r="E1479" s="1" t="s">
        <v>2918</v>
      </c>
    </row>
    <row r="1480" spans="1:5">
      <c r="A1480" s="1" t="s">
        <v>1442</v>
      </c>
      <c r="B1480" s="1" t="s">
        <v>939</v>
      </c>
      <c r="C1480" s="1" t="s">
        <v>1955</v>
      </c>
      <c r="D1480" s="1" t="s">
        <v>2467</v>
      </c>
      <c r="E1480" s="1" t="s">
        <v>2919</v>
      </c>
    </row>
    <row r="1481" spans="1:5">
      <c r="A1481" s="1" t="s">
        <v>1442</v>
      </c>
      <c r="B1481" s="1" t="s">
        <v>939</v>
      </c>
      <c r="C1481" s="1" t="s">
        <v>1956</v>
      </c>
      <c r="D1481" s="1" t="s">
        <v>2468</v>
      </c>
      <c r="E1481" s="1" t="s">
        <v>2920</v>
      </c>
    </row>
    <row r="1482" spans="1:5">
      <c r="A1482" s="1" t="s">
        <v>1442</v>
      </c>
      <c r="B1482" s="1" t="s">
        <v>939</v>
      </c>
      <c r="C1482" s="1" t="s">
        <v>1957</v>
      </c>
      <c r="D1482" s="1" t="s">
        <v>2469</v>
      </c>
      <c r="E1482" s="1" t="s">
        <v>2921</v>
      </c>
    </row>
    <row r="1483" spans="1:5">
      <c r="A1483" s="1" t="s">
        <v>1442</v>
      </c>
      <c r="B1483" s="1" t="s">
        <v>939</v>
      </c>
      <c r="C1483" s="1" t="s">
        <v>1958</v>
      </c>
      <c r="D1483" s="1" t="s">
        <v>2470</v>
      </c>
      <c r="E1483" s="1" t="s">
        <v>2922</v>
      </c>
    </row>
    <row r="1484" spans="1:5">
      <c r="A1484" s="1" t="s">
        <v>1442</v>
      </c>
      <c r="B1484" s="1" t="s">
        <v>939</v>
      </c>
      <c r="C1484" s="1" t="s">
        <v>1959</v>
      </c>
      <c r="D1484" s="1" t="s">
        <v>2471</v>
      </c>
      <c r="E1484" s="1" t="s">
        <v>2923</v>
      </c>
    </row>
    <row r="1485" spans="1:5">
      <c r="A1485" s="1" t="s">
        <v>1442</v>
      </c>
      <c r="B1485" s="1" t="s">
        <v>1549</v>
      </c>
      <c r="C1485" s="1" t="s">
        <v>1960</v>
      </c>
      <c r="D1485" s="1" t="s">
        <v>2472</v>
      </c>
      <c r="E1485" s="1" t="s">
        <v>2924</v>
      </c>
    </row>
    <row r="1486" spans="1:5">
      <c r="A1486" s="1" t="s">
        <v>1442</v>
      </c>
      <c r="B1486" s="1" t="s">
        <v>1549</v>
      </c>
      <c r="C1486" s="1" t="s">
        <v>1961</v>
      </c>
      <c r="D1486" s="1" t="s">
        <v>2473</v>
      </c>
      <c r="E1486" s="1" t="s">
        <v>1574</v>
      </c>
    </row>
    <row r="1487" spans="1:5">
      <c r="A1487" s="1" t="s">
        <v>1442</v>
      </c>
      <c r="B1487" s="1" t="s">
        <v>957</v>
      </c>
      <c r="C1487" s="1" t="s">
        <v>1962</v>
      </c>
      <c r="D1487" s="1" t="s">
        <v>2474</v>
      </c>
      <c r="E1487" s="1" t="s">
        <v>2925</v>
      </c>
    </row>
    <row r="1488" spans="1:5">
      <c r="A1488" s="1" t="s">
        <v>1442</v>
      </c>
      <c r="B1488" s="1" t="s">
        <v>964</v>
      </c>
      <c r="C1488" s="1" t="s">
        <v>1963</v>
      </c>
      <c r="D1488" s="1" t="s">
        <v>2475</v>
      </c>
      <c r="E1488" s="1" t="s">
        <v>2926</v>
      </c>
    </row>
    <row r="1489" spans="1:5">
      <c r="A1489" s="1" t="s">
        <v>1442</v>
      </c>
      <c r="B1489" s="1" t="s">
        <v>964</v>
      </c>
      <c r="C1489" s="1" t="s">
        <v>1964</v>
      </c>
      <c r="D1489" s="1" t="s">
        <v>2476</v>
      </c>
      <c r="E1489" s="1" t="s">
        <v>2927</v>
      </c>
    </row>
    <row r="1490" spans="1:5">
      <c r="A1490" s="1" t="s">
        <v>1442</v>
      </c>
      <c r="B1490" s="1" t="s">
        <v>1550</v>
      </c>
      <c r="C1490" s="1" t="s">
        <v>1965</v>
      </c>
      <c r="D1490" s="1" t="s">
        <v>2477</v>
      </c>
      <c r="E1490" s="1" t="s">
        <v>2928</v>
      </c>
    </row>
    <row r="1491" spans="1:5">
      <c r="A1491" s="1" t="s">
        <v>1442</v>
      </c>
      <c r="B1491" s="1" t="s">
        <v>968</v>
      </c>
      <c r="C1491" s="1" t="s">
        <v>1966</v>
      </c>
      <c r="D1491" s="1" t="s">
        <v>2478</v>
      </c>
      <c r="E1491" s="1" t="s">
        <v>2929</v>
      </c>
    </row>
    <row r="1492" spans="1:5">
      <c r="A1492" s="1" t="s">
        <v>1442</v>
      </c>
      <c r="B1492" s="1" t="s">
        <v>690</v>
      </c>
      <c r="C1492" s="1" t="s">
        <v>1967</v>
      </c>
      <c r="D1492" s="1" t="s">
        <v>2479</v>
      </c>
      <c r="E1492" s="1" t="s">
        <v>2930</v>
      </c>
    </row>
    <row r="1493" spans="1:5">
      <c r="A1493" s="1" t="s">
        <v>1442</v>
      </c>
      <c r="B1493" s="1" t="s">
        <v>979</v>
      </c>
      <c r="C1493" s="1" t="s">
        <v>1968</v>
      </c>
      <c r="D1493" s="1" t="s">
        <v>2480</v>
      </c>
      <c r="E1493" s="1" t="s">
        <v>2931</v>
      </c>
    </row>
    <row r="1494" spans="1:5">
      <c r="A1494" s="1" t="s">
        <v>1442</v>
      </c>
      <c r="B1494" s="1" t="s">
        <v>979</v>
      </c>
      <c r="C1494" s="1" t="s">
        <v>1969</v>
      </c>
      <c r="D1494" s="1" t="s">
        <v>2481</v>
      </c>
      <c r="E1494" s="1" t="s">
        <v>2932</v>
      </c>
    </row>
    <row r="1495" spans="1:5">
      <c r="A1495" s="1" t="s">
        <v>1442</v>
      </c>
      <c r="B1495" s="1" t="s">
        <v>979</v>
      </c>
      <c r="C1495" s="1" t="s">
        <v>1970</v>
      </c>
      <c r="D1495" s="1" t="s">
        <v>2482</v>
      </c>
      <c r="E1495" s="1" t="s">
        <v>2933</v>
      </c>
    </row>
    <row r="1496" spans="1:5">
      <c r="A1496" s="1" t="s">
        <v>1442</v>
      </c>
      <c r="B1496" s="1" t="s">
        <v>1551</v>
      </c>
      <c r="C1496" s="1" t="s">
        <v>1971</v>
      </c>
      <c r="D1496" s="1" t="s">
        <v>2483</v>
      </c>
      <c r="E1496" s="1" t="s">
        <v>2934</v>
      </c>
    </row>
    <row r="1497" spans="1:5">
      <c r="A1497" s="1" t="s">
        <v>1442</v>
      </c>
      <c r="B1497" s="1" t="s">
        <v>1552</v>
      </c>
      <c r="C1497" s="1" t="s">
        <v>1972</v>
      </c>
      <c r="D1497" s="1" t="s">
        <v>2484</v>
      </c>
      <c r="E1497" s="1" t="s">
        <v>2935</v>
      </c>
    </row>
    <row r="1498" spans="1:5">
      <c r="A1498" s="1" t="s">
        <v>1442</v>
      </c>
      <c r="B1498" s="1" t="s">
        <v>1552</v>
      </c>
      <c r="C1498" s="1" t="s">
        <v>1973</v>
      </c>
      <c r="D1498" s="1" t="s">
        <v>2485</v>
      </c>
      <c r="E1498" s="1">
        <v>1135281900</v>
      </c>
    </row>
    <row r="1499" spans="1:5">
      <c r="A1499" s="1" t="s">
        <v>1442</v>
      </c>
      <c r="B1499" s="1" t="s">
        <v>990</v>
      </c>
      <c r="C1499" s="1" t="s">
        <v>1974</v>
      </c>
      <c r="D1499" s="1" t="s">
        <v>2486</v>
      </c>
      <c r="E1499" s="1" t="s">
        <v>2936</v>
      </c>
    </row>
    <row r="1500" spans="1:5">
      <c r="A1500" s="1" t="s">
        <v>1442</v>
      </c>
      <c r="B1500" s="1" t="s">
        <v>990</v>
      </c>
      <c r="C1500" s="1" t="s">
        <v>1975</v>
      </c>
      <c r="D1500" s="1" t="s">
        <v>2487</v>
      </c>
      <c r="E1500" s="1" t="s">
        <v>2937</v>
      </c>
    </row>
    <row r="1501" spans="1:5">
      <c r="A1501" s="1" t="s">
        <v>1442</v>
      </c>
      <c r="B1501" s="1" t="s">
        <v>994</v>
      </c>
      <c r="C1501" s="1" t="s">
        <v>1976</v>
      </c>
      <c r="D1501" s="1" t="s">
        <v>2488</v>
      </c>
      <c r="E1501" s="1" t="s">
        <v>2938</v>
      </c>
    </row>
    <row r="1502" spans="1:5">
      <c r="A1502" s="1" t="s">
        <v>1442</v>
      </c>
      <c r="B1502" s="1" t="s">
        <v>994</v>
      </c>
      <c r="C1502" s="1" t="s">
        <v>1977</v>
      </c>
      <c r="D1502" s="1" t="s">
        <v>2489</v>
      </c>
      <c r="E1502" s="1" t="s">
        <v>2939</v>
      </c>
    </row>
    <row r="1503" spans="1:5">
      <c r="A1503" s="1" t="s">
        <v>1442</v>
      </c>
      <c r="B1503" s="1" t="s">
        <v>1553</v>
      </c>
      <c r="C1503" s="1" t="s">
        <v>1978</v>
      </c>
      <c r="D1503" s="1" t="s">
        <v>2490</v>
      </c>
      <c r="E1503" s="1" t="s">
        <v>2940</v>
      </c>
    </row>
    <row r="1504" spans="1:5">
      <c r="A1504" s="1" t="s">
        <v>1442</v>
      </c>
      <c r="B1504" s="1" t="s">
        <v>1553</v>
      </c>
      <c r="C1504" s="1" t="s">
        <v>1979</v>
      </c>
      <c r="D1504" s="1" t="s">
        <v>2491</v>
      </c>
      <c r="E1504" s="1" t="s">
        <v>1574</v>
      </c>
    </row>
    <row r="1505" spans="1:5">
      <c r="A1505" s="1" t="s">
        <v>1442</v>
      </c>
      <c r="B1505" s="1" t="s">
        <v>1554</v>
      </c>
      <c r="C1505" s="1" t="s">
        <v>1980</v>
      </c>
      <c r="D1505" s="1" t="s">
        <v>2492</v>
      </c>
      <c r="E1505" s="1" t="s">
        <v>2941</v>
      </c>
    </row>
    <row r="1506" spans="1:5">
      <c r="A1506" s="1" t="s">
        <v>1442</v>
      </c>
      <c r="B1506" s="1" t="s">
        <v>1009</v>
      </c>
      <c r="C1506" s="1" t="s">
        <v>1981</v>
      </c>
      <c r="D1506" s="1" t="s">
        <v>2493</v>
      </c>
      <c r="E1506" s="1" t="s">
        <v>2942</v>
      </c>
    </row>
    <row r="1507" spans="1:5">
      <c r="A1507" s="1" t="s">
        <v>1442</v>
      </c>
      <c r="B1507" s="1" t="s">
        <v>1013</v>
      </c>
      <c r="C1507" s="1" t="s">
        <v>1982</v>
      </c>
      <c r="D1507" s="1" t="s">
        <v>2494</v>
      </c>
      <c r="E1507" s="1" t="s">
        <v>1574</v>
      </c>
    </row>
    <row r="1508" spans="1:5">
      <c r="A1508" s="1" t="s">
        <v>1442</v>
      </c>
      <c r="B1508" s="1" t="s">
        <v>1013</v>
      </c>
      <c r="C1508" s="1" t="s">
        <v>1983</v>
      </c>
      <c r="D1508" s="1" t="s">
        <v>2495</v>
      </c>
      <c r="E1508" s="1" t="s">
        <v>2943</v>
      </c>
    </row>
    <row r="1509" spans="1:5">
      <c r="A1509" s="1" t="s">
        <v>1442</v>
      </c>
      <c r="B1509" s="1" t="s">
        <v>1013</v>
      </c>
      <c r="C1509" s="1" t="s">
        <v>1984</v>
      </c>
      <c r="D1509" s="1" t="s">
        <v>2496</v>
      </c>
      <c r="E1509" s="1" t="s">
        <v>1574</v>
      </c>
    </row>
    <row r="1510" spans="1:5">
      <c r="A1510" s="1" t="s">
        <v>1442</v>
      </c>
      <c r="B1510" s="1" t="s">
        <v>1013</v>
      </c>
      <c r="C1510" s="1" t="s">
        <v>1985</v>
      </c>
      <c r="D1510" s="1" t="s">
        <v>2497</v>
      </c>
      <c r="E1510" s="1">
        <v>1133367705</v>
      </c>
    </row>
    <row r="1511" spans="1:5">
      <c r="A1511" s="1" t="s">
        <v>1442</v>
      </c>
      <c r="B1511" s="1" t="s">
        <v>1555</v>
      </c>
      <c r="C1511" s="1" t="s">
        <v>1986</v>
      </c>
      <c r="D1511" s="1" t="s">
        <v>2498</v>
      </c>
      <c r="E1511" s="1" t="s">
        <v>2944</v>
      </c>
    </row>
    <row r="1512" spans="1:5">
      <c r="A1512" s="1" t="s">
        <v>1442</v>
      </c>
      <c r="B1512" s="1" t="s">
        <v>1556</v>
      </c>
      <c r="C1512" s="1" t="s">
        <v>1987</v>
      </c>
      <c r="D1512" s="1" t="s">
        <v>2499</v>
      </c>
      <c r="E1512" s="1" t="s">
        <v>1574</v>
      </c>
    </row>
    <row r="1513" spans="1:5">
      <c r="A1513" s="1" t="s">
        <v>1442</v>
      </c>
      <c r="B1513" s="1" t="s">
        <v>1557</v>
      </c>
      <c r="C1513" s="1" t="s">
        <v>1988</v>
      </c>
      <c r="D1513" s="1" t="s">
        <v>2500</v>
      </c>
      <c r="E1513" s="1" t="s">
        <v>2945</v>
      </c>
    </row>
    <row r="1514" spans="1:5">
      <c r="A1514" s="1" t="s">
        <v>1442</v>
      </c>
      <c r="B1514" s="1" t="s">
        <v>1557</v>
      </c>
      <c r="C1514" s="1" t="s">
        <v>1989</v>
      </c>
      <c r="D1514" s="1" t="s">
        <v>2501</v>
      </c>
      <c r="E1514" s="1" t="s">
        <v>2946</v>
      </c>
    </row>
    <row r="1515" spans="1:5">
      <c r="A1515" s="1" t="s">
        <v>1442</v>
      </c>
      <c r="B1515" s="1" t="s">
        <v>1558</v>
      </c>
      <c r="C1515" s="1" t="s">
        <v>1990</v>
      </c>
      <c r="D1515" s="1" t="s">
        <v>2502</v>
      </c>
      <c r="E1515" s="1" t="s">
        <v>2947</v>
      </c>
    </row>
    <row r="1516" spans="1:5">
      <c r="A1516" s="1" t="s">
        <v>1442</v>
      </c>
      <c r="B1516" s="1" t="s">
        <v>1558</v>
      </c>
      <c r="C1516" s="1" t="s">
        <v>1991</v>
      </c>
      <c r="D1516" s="1" t="s">
        <v>2503</v>
      </c>
      <c r="E1516" s="1" t="s">
        <v>2948</v>
      </c>
    </row>
    <row r="1517" spans="1:5">
      <c r="A1517" s="1" t="s">
        <v>1442</v>
      </c>
      <c r="B1517" s="1" t="s">
        <v>1029</v>
      </c>
      <c r="C1517" s="1" t="s">
        <v>1992</v>
      </c>
      <c r="D1517" s="1" t="s">
        <v>2504</v>
      </c>
      <c r="E1517" s="1" t="s">
        <v>2949</v>
      </c>
    </row>
    <row r="1518" spans="1:5">
      <c r="A1518" s="1" t="s">
        <v>1442</v>
      </c>
      <c r="B1518" s="1" t="s">
        <v>1033</v>
      </c>
      <c r="C1518" s="1" t="s">
        <v>1993</v>
      </c>
      <c r="D1518" s="1" t="s">
        <v>2505</v>
      </c>
      <c r="E1518" s="1" t="s">
        <v>2950</v>
      </c>
    </row>
    <row r="1519" spans="1:5">
      <c r="A1519" s="1" t="s">
        <v>1442</v>
      </c>
      <c r="B1519" s="1" t="s">
        <v>1033</v>
      </c>
      <c r="C1519" s="1" t="s">
        <v>1994</v>
      </c>
      <c r="D1519" s="1" t="s">
        <v>2506</v>
      </c>
      <c r="E1519" s="1" t="s">
        <v>2951</v>
      </c>
    </row>
    <row r="1520" spans="1:5">
      <c r="A1520" s="1" t="s">
        <v>1442</v>
      </c>
      <c r="B1520" s="1" t="s">
        <v>1033</v>
      </c>
      <c r="C1520" s="1" t="s">
        <v>1995</v>
      </c>
      <c r="D1520" s="1" t="s">
        <v>2507</v>
      </c>
      <c r="E1520" s="1" t="s">
        <v>2952</v>
      </c>
    </row>
    <row r="1521" spans="1:5">
      <c r="A1521" s="1" t="s">
        <v>1442</v>
      </c>
      <c r="B1521" s="1" t="s">
        <v>1037</v>
      </c>
      <c r="C1521" s="1" t="s">
        <v>1996</v>
      </c>
      <c r="D1521" s="1" t="s">
        <v>2508</v>
      </c>
      <c r="E1521" s="1" t="s">
        <v>2953</v>
      </c>
    </row>
    <row r="1522" spans="1:5">
      <c r="A1522" s="1" t="s">
        <v>1442</v>
      </c>
      <c r="B1522" s="1" t="s">
        <v>1559</v>
      </c>
      <c r="C1522" s="1" t="s">
        <v>1997</v>
      </c>
      <c r="D1522" s="1" t="s">
        <v>2509</v>
      </c>
      <c r="E1522" s="1" t="s">
        <v>2954</v>
      </c>
    </row>
    <row r="1523" spans="1:5">
      <c r="A1523" s="1" t="s">
        <v>1442</v>
      </c>
      <c r="B1523" s="1" t="s">
        <v>1041</v>
      </c>
      <c r="C1523" s="1" t="s">
        <v>1998</v>
      </c>
      <c r="D1523" s="1" t="s">
        <v>2510</v>
      </c>
      <c r="E1523" s="1" t="s">
        <v>2955</v>
      </c>
    </row>
    <row r="1524" spans="1:5">
      <c r="A1524" s="1" t="s">
        <v>1442</v>
      </c>
      <c r="B1524" s="1" t="s">
        <v>1041</v>
      </c>
      <c r="C1524" s="1" t="s">
        <v>1999</v>
      </c>
      <c r="D1524" s="1" t="s">
        <v>2511</v>
      </c>
      <c r="E1524" s="1" t="s">
        <v>2956</v>
      </c>
    </row>
    <row r="1525" spans="1:5">
      <c r="A1525" s="1" t="s">
        <v>1442</v>
      </c>
      <c r="B1525" s="1" t="s">
        <v>1041</v>
      </c>
      <c r="C1525" s="1" t="s">
        <v>2000</v>
      </c>
      <c r="D1525" s="1" t="s">
        <v>2512</v>
      </c>
      <c r="E1525" s="1" t="s">
        <v>2957</v>
      </c>
    </row>
    <row r="1526" spans="1:5">
      <c r="A1526" s="1" t="s">
        <v>1442</v>
      </c>
      <c r="B1526" s="1" t="s">
        <v>1041</v>
      </c>
      <c r="C1526" s="1" t="s">
        <v>2001</v>
      </c>
      <c r="D1526" s="1" t="s">
        <v>2513</v>
      </c>
      <c r="E1526" s="1" t="s">
        <v>2958</v>
      </c>
    </row>
    <row r="1527" spans="1:5">
      <c r="A1527" s="1" t="s">
        <v>1442</v>
      </c>
      <c r="B1527" s="1" t="s">
        <v>1041</v>
      </c>
      <c r="C1527" s="1" t="s">
        <v>2002</v>
      </c>
      <c r="D1527" s="1" t="s">
        <v>2514</v>
      </c>
      <c r="E1527" s="1" t="s">
        <v>2959</v>
      </c>
    </row>
    <row r="1528" spans="1:5">
      <c r="A1528" s="1" t="s">
        <v>1442</v>
      </c>
      <c r="B1528" s="1" t="s">
        <v>1041</v>
      </c>
      <c r="C1528" s="1" t="s">
        <v>2003</v>
      </c>
      <c r="D1528" s="1" t="s">
        <v>2515</v>
      </c>
      <c r="E1528" s="1" t="s">
        <v>2960</v>
      </c>
    </row>
    <row r="1529" spans="1:5">
      <c r="A1529" s="1" t="s">
        <v>1442</v>
      </c>
      <c r="B1529" s="1" t="s">
        <v>1041</v>
      </c>
      <c r="C1529" s="1" t="s">
        <v>2004</v>
      </c>
      <c r="D1529" s="1" t="s">
        <v>2516</v>
      </c>
      <c r="E1529" s="1" t="s">
        <v>2961</v>
      </c>
    </row>
    <row r="1530" spans="1:5">
      <c r="A1530" s="1" t="s">
        <v>1442</v>
      </c>
      <c r="B1530" s="1" t="s">
        <v>1560</v>
      </c>
      <c r="C1530" s="1" t="s">
        <v>2005</v>
      </c>
      <c r="D1530" s="1" t="s">
        <v>2517</v>
      </c>
      <c r="E1530" s="1" t="s">
        <v>2962</v>
      </c>
    </row>
    <row r="1531" spans="1:5">
      <c r="A1531" s="1" t="s">
        <v>1442</v>
      </c>
      <c r="B1531" s="1" t="s">
        <v>1560</v>
      </c>
      <c r="C1531" s="1" t="s">
        <v>2006</v>
      </c>
      <c r="D1531" s="1" t="s">
        <v>2518</v>
      </c>
      <c r="E1531" s="1" t="s">
        <v>2963</v>
      </c>
    </row>
    <row r="1532" spans="1:5">
      <c r="A1532" s="1" t="s">
        <v>1442</v>
      </c>
      <c r="B1532" s="1" t="s">
        <v>1561</v>
      </c>
      <c r="C1532" s="1" t="s">
        <v>2007</v>
      </c>
      <c r="D1532" s="1" t="s">
        <v>2519</v>
      </c>
      <c r="E1532" s="1" t="s">
        <v>2964</v>
      </c>
    </row>
    <row r="1533" spans="1:5">
      <c r="A1533" s="1" t="s">
        <v>1442</v>
      </c>
      <c r="B1533" s="1" t="s">
        <v>1561</v>
      </c>
      <c r="C1533" s="1" t="s">
        <v>2008</v>
      </c>
      <c r="D1533" s="1" t="s">
        <v>2520</v>
      </c>
      <c r="E1533" s="1" t="s">
        <v>2965</v>
      </c>
    </row>
    <row r="1534" spans="1:5">
      <c r="A1534" s="1" t="s">
        <v>1442</v>
      </c>
      <c r="B1534" s="1" t="s">
        <v>1562</v>
      </c>
      <c r="C1534" s="1" t="s">
        <v>2009</v>
      </c>
      <c r="D1534" s="1" t="s">
        <v>2521</v>
      </c>
      <c r="E1534" s="1" t="s">
        <v>2966</v>
      </c>
    </row>
    <row r="1535" spans="1:5">
      <c r="A1535" s="1" t="s">
        <v>1442</v>
      </c>
      <c r="B1535" s="1" t="s">
        <v>1563</v>
      </c>
      <c r="C1535" s="1" t="s">
        <v>2010</v>
      </c>
      <c r="D1535" s="1" t="s">
        <v>2522</v>
      </c>
      <c r="E1535" s="1" t="s">
        <v>2967</v>
      </c>
    </row>
    <row r="1536" spans="1:5">
      <c r="A1536" s="1" t="s">
        <v>1442</v>
      </c>
      <c r="B1536" s="1" t="s">
        <v>1048</v>
      </c>
      <c r="C1536" s="1" t="s">
        <v>2011</v>
      </c>
      <c r="D1536" s="1" t="s">
        <v>2523</v>
      </c>
      <c r="E1536" s="1" t="s">
        <v>2968</v>
      </c>
    </row>
    <row r="1537" spans="1:5">
      <c r="A1537" s="1" t="s">
        <v>1442</v>
      </c>
      <c r="B1537" s="1" t="s">
        <v>1048</v>
      </c>
      <c r="C1537" s="1" t="s">
        <v>2012</v>
      </c>
      <c r="D1537" s="1" t="s">
        <v>2524</v>
      </c>
      <c r="E1537" s="1" t="s">
        <v>2969</v>
      </c>
    </row>
    <row r="1538" spans="1:5">
      <c r="A1538" s="1" t="s">
        <v>1442</v>
      </c>
      <c r="B1538" s="1" t="s">
        <v>1564</v>
      </c>
      <c r="C1538" s="1" t="s">
        <v>2013</v>
      </c>
      <c r="D1538" s="1" t="s">
        <v>2525</v>
      </c>
      <c r="E1538" s="1" t="s">
        <v>1574</v>
      </c>
    </row>
    <row r="1539" spans="1:5">
      <c r="A1539" s="1" t="s">
        <v>1442</v>
      </c>
      <c r="B1539" s="1" t="s">
        <v>1565</v>
      </c>
      <c r="C1539" s="1" t="s">
        <v>2014</v>
      </c>
      <c r="D1539" s="1" t="s">
        <v>2526</v>
      </c>
      <c r="E1539" s="1" t="s">
        <v>2970</v>
      </c>
    </row>
    <row r="1540" spans="1:5">
      <c r="A1540" s="1" t="s">
        <v>1442</v>
      </c>
      <c r="B1540" s="1" t="s">
        <v>1565</v>
      </c>
      <c r="C1540" s="1" t="s">
        <v>2015</v>
      </c>
      <c r="D1540" s="1" t="s">
        <v>2527</v>
      </c>
      <c r="E1540" s="1" t="s">
        <v>2971</v>
      </c>
    </row>
    <row r="1541" spans="1:5">
      <c r="A1541" s="1" t="s">
        <v>1442</v>
      </c>
      <c r="B1541" s="1" t="s">
        <v>1055</v>
      </c>
      <c r="C1541" s="1" t="s">
        <v>2016</v>
      </c>
      <c r="D1541" s="1" t="s">
        <v>2528</v>
      </c>
      <c r="E1541" s="1" t="s">
        <v>2972</v>
      </c>
    </row>
    <row r="1542" spans="1:5">
      <c r="A1542" s="1" t="s">
        <v>1442</v>
      </c>
      <c r="B1542" s="1" t="s">
        <v>1566</v>
      </c>
      <c r="C1542" s="1" t="s">
        <v>2017</v>
      </c>
      <c r="D1542" s="1" t="s">
        <v>2529</v>
      </c>
      <c r="E1542" s="1" t="s">
        <v>2973</v>
      </c>
    </row>
    <row r="1543" spans="1:5">
      <c r="A1543" s="1" t="s">
        <v>1442</v>
      </c>
      <c r="B1543" s="1" t="s">
        <v>1567</v>
      </c>
      <c r="C1543" s="1" t="s">
        <v>2018</v>
      </c>
      <c r="D1543" s="1" t="s">
        <v>2530</v>
      </c>
      <c r="E1543" s="1" t="s">
        <v>2974</v>
      </c>
    </row>
    <row r="1544" spans="1:5">
      <c r="A1544" s="1" t="s">
        <v>1442</v>
      </c>
      <c r="B1544" s="1" t="s">
        <v>1567</v>
      </c>
      <c r="C1544" s="1" t="s">
        <v>2019</v>
      </c>
      <c r="D1544" s="1" t="s">
        <v>2531</v>
      </c>
      <c r="E1544" s="1" t="s">
        <v>2975</v>
      </c>
    </row>
    <row r="1545" spans="1:5">
      <c r="A1545" s="1" t="s">
        <v>1442</v>
      </c>
      <c r="B1545" s="1" t="s">
        <v>1075</v>
      </c>
      <c r="C1545" s="1" t="s">
        <v>2020</v>
      </c>
      <c r="D1545" s="1" t="s">
        <v>2532</v>
      </c>
      <c r="E1545" s="1" t="s">
        <v>2976</v>
      </c>
    </row>
    <row r="1546" spans="1:5">
      <c r="A1546" s="1" t="s">
        <v>1442</v>
      </c>
      <c r="B1546" s="1" t="s">
        <v>1568</v>
      </c>
      <c r="C1546" s="1" t="s">
        <v>2021</v>
      </c>
      <c r="D1546" s="1" t="s">
        <v>2533</v>
      </c>
      <c r="E1546" s="1" t="s">
        <v>2977</v>
      </c>
    </row>
    <row r="1547" spans="1:5">
      <c r="A1547" s="1" t="s">
        <v>1442</v>
      </c>
      <c r="B1547" s="1" t="s">
        <v>1484</v>
      </c>
      <c r="C1547" s="1" t="s">
        <v>2022</v>
      </c>
      <c r="D1547" s="1" t="s">
        <v>2534</v>
      </c>
      <c r="E1547" s="1" t="s">
        <v>2978</v>
      </c>
    </row>
    <row r="1548" spans="1:5">
      <c r="A1548" s="1" t="s">
        <v>1442</v>
      </c>
      <c r="B1548" s="1" t="s">
        <v>1569</v>
      </c>
      <c r="C1548" s="1" t="s">
        <v>2023</v>
      </c>
      <c r="D1548" s="1" t="s">
        <v>2535</v>
      </c>
      <c r="E1548" s="1" t="s">
        <v>2979</v>
      </c>
    </row>
    <row r="1549" spans="1:5">
      <c r="A1549" s="1" t="s">
        <v>1442</v>
      </c>
      <c r="B1549" s="1" t="s">
        <v>1570</v>
      </c>
      <c r="C1549" s="1" t="s">
        <v>2024</v>
      </c>
      <c r="D1549" s="1" t="s">
        <v>2536</v>
      </c>
      <c r="E1549" s="1" t="s">
        <v>2980</v>
      </c>
    </row>
    <row r="1550" spans="1:5">
      <c r="A1550" s="1" t="s">
        <v>1442</v>
      </c>
      <c r="B1550" s="1" t="s">
        <v>1571</v>
      </c>
      <c r="C1550" s="1" t="s">
        <v>2025</v>
      </c>
      <c r="D1550" s="1" t="s">
        <v>2537</v>
      </c>
      <c r="E1550" s="1" t="s">
        <v>2981</v>
      </c>
    </row>
    <row r="1551" spans="1:5">
      <c r="A1551" s="1" t="s">
        <v>1442</v>
      </c>
      <c r="B1551" s="1" t="s">
        <v>1571</v>
      </c>
      <c r="C1551" s="1" t="s">
        <v>2026</v>
      </c>
      <c r="D1551" s="1" t="s">
        <v>2538</v>
      </c>
      <c r="E1551" s="1" t="s">
        <v>2982</v>
      </c>
    </row>
    <row r="1552" spans="1:5">
      <c r="A1552" s="1" t="s">
        <v>1442</v>
      </c>
      <c r="B1552" s="1" t="s">
        <v>1079</v>
      </c>
      <c r="C1552" s="1" t="s">
        <v>2027</v>
      </c>
      <c r="D1552" s="1" t="s">
        <v>2539</v>
      </c>
      <c r="E1552" s="1" t="s">
        <v>2983</v>
      </c>
    </row>
    <row r="1553" spans="1:5">
      <c r="A1553" s="1" t="s">
        <v>1442</v>
      </c>
      <c r="B1553" s="1" t="s">
        <v>1079</v>
      </c>
      <c r="C1553" s="1" t="s">
        <v>2028</v>
      </c>
      <c r="D1553" s="1" t="s">
        <v>2540</v>
      </c>
      <c r="E1553" s="1" t="s">
        <v>2984</v>
      </c>
    </row>
    <row r="1554" spans="1:5">
      <c r="A1554" s="1" t="s">
        <v>1442</v>
      </c>
      <c r="B1554" s="1" t="s">
        <v>1083</v>
      </c>
      <c r="C1554" s="1" t="s">
        <v>2029</v>
      </c>
      <c r="D1554" s="1" t="s">
        <v>2541</v>
      </c>
      <c r="E1554" s="1" t="s">
        <v>2985</v>
      </c>
    </row>
    <row r="1555" spans="1:5">
      <c r="A1555" s="1" t="s">
        <v>1442</v>
      </c>
      <c r="B1555" s="1" t="s">
        <v>1083</v>
      </c>
      <c r="C1555" s="1" t="s">
        <v>2030</v>
      </c>
      <c r="D1555" s="1" t="s">
        <v>2542</v>
      </c>
      <c r="E1555" s="1" t="s">
        <v>2986</v>
      </c>
    </row>
    <row r="1556" spans="1:5">
      <c r="A1556" s="1" t="s">
        <v>1442</v>
      </c>
      <c r="B1556" s="1" t="s">
        <v>1074</v>
      </c>
      <c r="C1556" s="1" t="s">
        <v>2031</v>
      </c>
      <c r="D1556" s="1" t="s">
        <v>2543</v>
      </c>
      <c r="E1556" s="1" t="s">
        <v>1574</v>
      </c>
    </row>
    <row r="1557" spans="1:5">
      <c r="A1557" s="1" t="s">
        <v>1442</v>
      </c>
      <c r="B1557" s="1" t="s">
        <v>1074</v>
      </c>
      <c r="C1557" s="1" t="s">
        <v>2032</v>
      </c>
      <c r="D1557" s="1" t="s">
        <v>2544</v>
      </c>
      <c r="E1557" s="1" t="s">
        <v>2987</v>
      </c>
    </row>
    <row r="1558" spans="1:5">
      <c r="A1558" s="1" t="s">
        <v>1442</v>
      </c>
      <c r="B1558" s="1" t="s">
        <v>1074</v>
      </c>
      <c r="C1558" s="1" t="s">
        <v>2033</v>
      </c>
      <c r="D1558" s="1" t="s">
        <v>2545</v>
      </c>
      <c r="E1558" s="1" t="s">
        <v>2988</v>
      </c>
    </row>
    <row r="1559" spans="1:5">
      <c r="A1559" s="1" t="s">
        <v>1442</v>
      </c>
      <c r="B1559" s="1" t="s">
        <v>1074</v>
      </c>
      <c r="C1559" s="1" t="s">
        <v>2034</v>
      </c>
      <c r="D1559" s="1" t="s">
        <v>2546</v>
      </c>
      <c r="E1559" s="1" t="s">
        <v>2989</v>
      </c>
    </row>
    <row r="1560" spans="1:5">
      <c r="A1560" s="1" t="s">
        <v>1442</v>
      </c>
      <c r="B1560" s="1" t="s">
        <v>1572</v>
      </c>
      <c r="C1560" s="1" t="s">
        <v>2035</v>
      </c>
      <c r="D1560" s="1" t="s">
        <v>2547</v>
      </c>
      <c r="E1560" s="1" t="s">
        <v>2990</v>
      </c>
    </row>
    <row r="1561" spans="1:5">
      <c r="A1561" s="1" t="s">
        <v>1442</v>
      </c>
      <c r="B1561" s="1" t="s">
        <v>1106</v>
      </c>
      <c r="C1561" s="1" t="s">
        <v>2036</v>
      </c>
      <c r="D1561" s="1" t="s">
        <v>2548</v>
      </c>
      <c r="E1561" s="1" t="s">
        <v>2991</v>
      </c>
    </row>
    <row r="1562" spans="1:5">
      <c r="A1562" s="1" t="s">
        <v>1442</v>
      </c>
      <c r="B1562" s="1" t="s">
        <v>1573</v>
      </c>
      <c r="C1562" s="1" t="s">
        <v>2037</v>
      </c>
      <c r="D1562" s="1" t="s">
        <v>2549</v>
      </c>
      <c r="E1562" s="1" t="s">
        <v>2992</v>
      </c>
    </row>
    <row r="1563" spans="1:5">
      <c r="A1563" s="1" t="s">
        <v>1442</v>
      </c>
      <c r="B1563" s="1" t="s">
        <v>1113</v>
      </c>
      <c r="C1563" s="1" t="s">
        <v>2038</v>
      </c>
      <c r="D1563" s="1" t="s">
        <v>2550</v>
      </c>
      <c r="E1563" s="1" t="s">
        <v>2993</v>
      </c>
    </row>
    <row r="1564" spans="1:5">
      <c r="A1564" s="1" t="s">
        <v>1442</v>
      </c>
      <c r="B1564" s="1" t="s">
        <v>1117</v>
      </c>
      <c r="C1564" s="1" t="s">
        <v>2039</v>
      </c>
      <c r="D1564" s="1" t="s">
        <v>2551</v>
      </c>
      <c r="E1564" s="1" t="s">
        <v>2994</v>
      </c>
    </row>
    <row r="1565" spans="1:5">
      <c r="A1565" s="1" t="s">
        <v>1442</v>
      </c>
      <c r="B1565" s="1" t="s">
        <v>1096</v>
      </c>
      <c r="C1565" s="1" t="s">
        <v>2040</v>
      </c>
      <c r="D1565" s="1" t="s">
        <v>2552</v>
      </c>
      <c r="E1565" s="1" t="s">
        <v>2995</v>
      </c>
    </row>
    <row r="1566" spans="1:5">
      <c r="A1566" s="1" t="s">
        <v>1442</v>
      </c>
      <c r="B1566" s="1" t="s">
        <v>1096</v>
      </c>
      <c r="C1566" s="1" t="s">
        <v>2041</v>
      </c>
      <c r="D1566" s="1" t="s">
        <v>2553</v>
      </c>
      <c r="E1566" s="1">
        <v>3537280850</v>
      </c>
    </row>
    <row r="1567" spans="1:5">
      <c r="A1567" s="1" t="s">
        <v>1442</v>
      </c>
      <c r="B1567" s="1" t="s">
        <v>1096</v>
      </c>
      <c r="C1567" s="1" t="s">
        <v>2042</v>
      </c>
      <c r="D1567" s="1" t="s">
        <v>2554</v>
      </c>
      <c r="E1567" s="1" t="s">
        <v>2996</v>
      </c>
    </row>
    <row r="1568" spans="1:5">
      <c r="A1568" s="1" t="s">
        <v>1443</v>
      </c>
      <c r="B1568" s="1" t="s">
        <v>1574</v>
      </c>
      <c r="C1568" s="1" t="s">
        <v>2043</v>
      </c>
      <c r="D1568" s="1" t="s">
        <v>2555</v>
      </c>
      <c r="E1568" s="1" t="s">
        <v>2997</v>
      </c>
    </row>
    <row r="1569" spans="1:5">
      <c r="A1569" s="1" t="s">
        <v>1443</v>
      </c>
      <c r="B1569" s="1" t="s">
        <v>1574</v>
      </c>
      <c r="C1569" s="1" t="s">
        <v>2044</v>
      </c>
      <c r="D1569" s="1" t="s">
        <v>2556</v>
      </c>
      <c r="E1569" s="1" t="s">
        <v>2998</v>
      </c>
    </row>
    <row r="1570" spans="1:5">
      <c r="A1570" s="1" t="s">
        <v>1443</v>
      </c>
      <c r="B1570" s="1" t="s">
        <v>1574</v>
      </c>
      <c r="C1570" s="1" t="s">
        <v>2045</v>
      </c>
      <c r="D1570" s="1" t="s">
        <v>2557</v>
      </c>
      <c r="E1570" s="1" t="s">
        <v>2999</v>
      </c>
    </row>
    <row r="1571" spans="1:5">
      <c r="A1571" s="1" t="s">
        <v>1443</v>
      </c>
      <c r="B1571" s="1" t="s">
        <v>1574</v>
      </c>
      <c r="C1571" s="1" t="s">
        <v>2046</v>
      </c>
      <c r="D1571" s="1" t="s">
        <v>2558</v>
      </c>
      <c r="E1571" s="1" t="s">
        <v>3000</v>
      </c>
    </row>
    <row r="1572" spans="1:5">
      <c r="A1572" s="1" t="s">
        <v>1443</v>
      </c>
      <c r="B1572" s="1" t="s">
        <v>1574</v>
      </c>
      <c r="C1572" s="1" t="s">
        <v>2047</v>
      </c>
      <c r="D1572" s="1" t="s">
        <v>2559</v>
      </c>
      <c r="E1572" s="1" t="s">
        <v>3001</v>
      </c>
    </row>
    <row r="1573" spans="1:5">
      <c r="A1573" s="1" t="s">
        <v>1443</v>
      </c>
      <c r="B1573" s="1" t="s">
        <v>1574</v>
      </c>
      <c r="C1573" s="1" t="s">
        <v>2048</v>
      </c>
      <c r="D1573" s="1" t="s">
        <v>2560</v>
      </c>
      <c r="E1573" s="1" t="s">
        <v>3002</v>
      </c>
    </row>
    <row r="1574" spans="1:5">
      <c r="A1574" s="1" t="s">
        <v>1443</v>
      </c>
      <c r="B1574" s="1" t="s">
        <v>1574</v>
      </c>
      <c r="C1574" s="1" t="s">
        <v>2049</v>
      </c>
      <c r="D1574" s="1" t="s">
        <v>2561</v>
      </c>
      <c r="E1574" s="1" t="s">
        <v>3003</v>
      </c>
    </row>
    <row r="1575" spans="1:5">
      <c r="A1575" s="1" t="s">
        <v>1443</v>
      </c>
      <c r="B1575" s="1" t="s">
        <v>1574</v>
      </c>
      <c r="C1575" s="1" t="s">
        <v>2050</v>
      </c>
      <c r="D1575" s="1" t="s">
        <v>2562</v>
      </c>
      <c r="E1575" s="1" t="s">
        <v>3004</v>
      </c>
    </row>
    <row r="1576" spans="1:5">
      <c r="A1576" s="1" t="s">
        <v>1443</v>
      </c>
      <c r="B1576" s="1" t="s">
        <v>1574</v>
      </c>
      <c r="C1576" s="1" t="s">
        <v>2051</v>
      </c>
      <c r="D1576" s="1" t="s">
        <v>2563</v>
      </c>
      <c r="E1576" s="1" t="s">
        <v>3005</v>
      </c>
    </row>
    <row r="1577" spans="1:5">
      <c r="A1577" s="1" t="s">
        <v>1443</v>
      </c>
      <c r="B1577" s="1" t="s">
        <v>1574</v>
      </c>
      <c r="C1577" s="1" t="s">
        <v>2052</v>
      </c>
      <c r="D1577" s="1" t="s">
        <v>2564</v>
      </c>
      <c r="E1577" s="1" t="s">
        <v>3006</v>
      </c>
    </row>
    <row r="1578" spans="1:5">
      <c r="A1578" s="1" t="s">
        <v>1443</v>
      </c>
      <c r="B1578" s="1" t="s">
        <v>1574</v>
      </c>
      <c r="D1578" s="1" t="s">
        <v>2565</v>
      </c>
      <c r="E1578" s="1" t="s">
        <v>3007</v>
      </c>
    </row>
    <row r="1579" spans="1:5">
      <c r="A1579" s="1" t="s">
        <v>1443</v>
      </c>
      <c r="B1579" s="1" t="s">
        <v>1574</v>
      </c>
      <c r="C1579" s="1" t="s">
        <v>2053</v>
      </c>
      <c r="D1579" s="1" t="s">
        <v>2566</v>
      </c>
      <c r="E1579" s="1" t="s">
        <v>3008</v>
      </c>
    </row>
    <row r="1580" spans="1:5">
      <c r="A1580" s="1" t="s">
        <v>1443</v>
      </c>
      <c r="B1580" s="1" t="s">
        <v>1574</v>
      </c>
      <c r="C1580" s="1" t="s">
        <v>2054</v>
      </c>
      <c r="D1580" s="1" t="s">
        <v>2567</v>
      </c>
      <c r="E1580" s="1" t="s">
        <v>3009</v>
      </c>
    </row>
    <row r="1581" spans="1:5">
      <c r="A1581" s="1" t="s">
        <v>1443</v>
      </c>
      <c r="B1581" s="1" t="s">
        <v>1574</v>
      </c>
      <c r="D1581" s="1" t="s">
        <v>2568</v>
      </c>
      <c r="E1581" s="1" t="s">
        <v>3010</v>
      </c>
    </row>
    <row r="1582" spans="1:5">
      <c r="A1582" s="1" t="s">
        <v>1443</v>
      </c>
      <c r="B1582" s="1" t="s">
        <v>1574</v>
      </c>
      <c r="C1582" s="1" t="s">
        <v>2055</v>
      </c>
      <c r="D1582" s="1" t="s">
        <v>2569</v>
      </c>
      <c r="E1582" s="1" t="s">
        <v>3011</v>
      </c>
    </row>
    <row r="1583" spans="1:5">
      <c r="A1583" s="1" t="s">
        <v>1443</v>
      </c>
      <c r="B1583" s="1" t="s">
        <v>1574</v>
      </c>
      <c r="C1583" s="1" t="s">
        <v>2056</v>
      </c>
      <c r="D1583" s="1" t="s">
        <v>2570</v>
      </c>
      <c r="E1583" s="1" t="s">
        <v>3012</v>
      </c>
    </row>
    <row r="1584" spans="1:5">
      <c r="A1584" s="1" t="s">
        <v>1443</v>
      </c>
      <c r="B1584" s="1" t="s">
        <v>1574</v>
      </c>
      <c r="D1584" s="1" t="s">
        <v>2571</v>
      </c>
      <c r="E1584" s="1" t="s">
        <v>3013</v>
      </c>
    </row>
    <row r="1585" spans="1:5">
      <c r="A1585" s="1" t="s">
        <v>1443</v>
      </c>
      <c r="B1585" s="1" t="s">
        <v>1574</v>
      </c>
      <c r="C1585" s="1" t="s">
        <v>2057</v>
      </c>
      <c r="D1585" s="1" t="s">
        <v>2572</v>
      </c>
      <c r="E1585" s="1" t="s">
        <v>3014</v>
      </c>
    </row>
    <row r="1586" spans="1:5">
      <c r="A1586" s="1" t="s">
        <v>1443</v>
      </c>
      <c r="B1586" s="1" t="s">
        <v>1574</v>
      </c>
      <c r="D1586" s="1" t="s">
        <v>2573</v>
      </c>
      <c r="E1586" s="1" t="s">
        <v>1574</v>
      </c>
    </row>
    <row r="1587" spans="1:5">
      <c r="A1587" s="1" t="s">
        <v>1443</v>
      </c>
      <c r="B1587" s="1" t="s">
        <v>1574</v>
      </c>
      <c r="C1587" s="1" t="s">
        <v>2058</v>
      </c>
      <c r="D1587" s="1" t="s">
        <v>2574</v>
      </c>
      <c r="E1587" s="1" t="s">
        <v>3015</v>
      </c>
    </row>
    <row r="1588" spans="1:5">
      <c r="A1588" s="1" t="s">
        <v>1443</v>
      </c>
      <c r="B1588" s="1" t="s">
        <v>1574</v>
      </c>
      <c r="D1588" s="1" t="s">
        <v>2575</v>
      </c>
      <c r="E1588" s="1" t="s">
        <v>1574</v>
      </c>
    </row>
    <row r="1589" spans="1:5">
      <c r="A1589" s="1" t="s">
        <v>1443</v>
      </c>
      <c r="B1589" s="1" t="s">
        <v>1574</v>
      </c>
      <c r="C1589" s="1" t="s">
        <v>2059</v>
      </c>
      <c r="D1589" s="1" t="s">
        <v>2576</v>
      </c>
      <c r="E1589" s="1">
        <v>32246191</v>
      </c>
    </row>
    <row r="1590" spans="1:5">
      <c r="A1590" s="1" t="s">
        <v>1443</v>
      </c>
      <c r="B1590" s="1" t="s">
        <v>1574</v>
      </c>
      <c r="C1590" s="1" t="s">
        <v>2060</v>
      </c>
      <c r="D1590" s="1" t="s">
        <v>2577</v>
      </c>
      <c r="E1590" s="1" t="s">
        <v>1574</v>
      </c>
    </row>
    <row r="1591" spans="1:5">
      <c r="A1591" s="1" t="s">
        <v>1443</v>
      </c>
      <c r="B1591" s="1" t="s">
        <v>1574</v>
      </c>
      <c r="D1591" s="1" t="s">
        <v>2578</v>
      </c>
      <c r="E1591" s="1" t="s">
        <v>3016</v>
      </c>
    </row>
    <row r="1592" spans="1:5">
      <c r="A1592" s="1" t="s">
        <v>1443</v>
      </c>
      <c r="B1592" s="1" t="s">
        <v>1574</v>
      </c>
      <c r="C1592" s="1" t="s">
        <v>2061</v>
      </c>
      <c r="D1592" s="1" t="s">
        <v>2579</v>
      </c>
      <c r="E1592" s="1" t="s">
        <v>3017</v>
      </c>
    </row>
    <row r="1593" spans="1:5">
      <c r="A1593" s="1" t="s">
        <v>1443</v>
      </c>
      <c r="B1593" s="1" t="s">
        <v>1574</v>
      </c>
      <c r="C1593" s="1" t="s">
        <v>2062</v>
      </c>
      <c r="D1593" s="1" t="s">
        <v>2580</v>
      </c>
      <c r="E1593" s="1" t="s">
        <v>3018</v>
      </c>
    </row>
    <row r="1594" spans="1:5">
      <c r="A1594" s="1" t="s">
        <v>1443</v>
      </c>
      <c r="B1594" s="1" t="s">
        <v>1574</v>
      </c>
      <c r="D1594" s="1" t="s">
        <v>2581</v>
      </c>
    </row>
    <row r="1595" spans="1:5">
      <c r="A1595" s="1" t="s">
        <v>1443</v>
      </c>
      <c r="B1595" s="1" t="s">
        <v>1574</v>
      </c>
      <c r="C1595" s="1" t="s">
        <v>2063</v>
      </c>
      <c r="D1595" s="1" t="s">
        <v>2582</v>
      </c>
      <c r="E1595" s="1" t="s">
        <v>3019</v>
      </c>
    </row>
    <row r="1596" spans="1:5">
      <c r="A1596" s="1" t="s">
        <v>1443</v>
      </c>
      <c r="B1596" s="1" t="s">
        <v>1574</v>
      </c>
      <c r="D1596" s="1" t="s">
        <v>2583</v>
      </c>
    </row>
    <row r="1597" spans="1:5">
      <c r="A1597" s="1" t="s">
        <v>1443</v>
      </c>
      <c r="B1597" s="1" t="s">
        <v>1574</v>
      </c>
      <c r="C1597" s="1" t="s">
        <v>2064</v>
      </c>
      <c r="D1597" s="1" t="s">
        <v>2584</v>
      </c>
      <c r="E1597" s="1" t="s">
        <v>3020</v>
      </c>
    </row>
    <row r="1598" spans="1:5">
      <c r="A1598" s="1" t="s">
        <v>1443</v>
      </c>
      <c r="B1598" s="1" t="s">
        <v>1574</v>
      </c>
      <c r="D1598" s="1" t="s">
        <v>2585</v>
      </c>
    </row>
    <row r="1599" spans="1:5">
      <c r="A1599" s="1" t="s">
        <v>1443</v>
      </c>
      <c r="B1599" s="1" t="s">
        <v>1574</v>
      </c>
      <c r="C1599" s="1" t="s">
        <v>2065</v>
      </c>
      <c r="D1599" s="1" t="s">
        <v>2586</v>
      </c>
      <c r="E1599" s="1" t="s">
        <v>3021</v>
      </c>
    </row>
    <row r="1600" spans="1:5">
      <c r="A1600" s="1" t="s">
        <v>1443</v>
      </c>
      <c r="B1600" s="1" t="s">
        <v>1574</v>
      </c>
      <c r="D1600" s="1" t="s">
        <v>2587</v>
      </c>
      <c r="E1600" s="1" t="s">
        <v>3022</v>
      </c>
    </row>
    <row r="1601" spans="1:5">
      <c r="A1601" s="1" t="s">
        <v>1443</v>
      </c>
      <c r="B1601" s="1" t="s">
        <v>1574</v>
      </c>
      <c r="C1601" s="1" t="s">
        <v>2066</v>
      </c>
      <c r="D1601" s="1" t="s">
        <v>2588</v>
      </c>
      <c r="E1601" s="1" t="s">
        <v>3023</v>
      </c>
    </row>
    <row r="1602" spans="1:5">
      <c r="A1602" s="1" t="s">
        <v>1443</v>
      </c>
      <c r="B1602" s="1" t="s">
        <v>1574</v>
      </c>
      <c r="D1602" s="1" t="s">
        <v>2589</v>
      </c>
      <c r="E1602" s="1" t="s">
        <v>3024</v>
      </c>
    </row>
    <row r="1603" spans="1:5">
      <c r="A1603" s="1" t="s">
        <v>1443</v>
      </c>
      <c r="B1603" s="1" t="s">
        <v>1574</v>
      </c>
      <c r="C1603" s="1" t="s">
        <v>2067</v>
      </c>
      <c r="D1603" s="1" t="s">
        <v>2590</v>
      </c>
      <c r="E1603" s="1" t="s">
        <v>3025</v>
      </c>
    </row>
    <row r="1604" spans="1:5">
      <c r="A1604" s="1" t="s">
        <v>1443</v>
      </c>
      <c r="B1604" s="1" t="s">
        <v>1574</v>
      </c>
      <c r="C1604" s="1" t="s">
        <v>2068</v>
      </c>
      <c r="D1604" s="1" t="s">
        <v>2591</v>
      </c>
      <c r="E1604" s="1" t="s">
        <v>3026</v>
      </c>
    </row>
    <row r="1605" spans="1:5">
      <c r="A1605" s="1" t="s">
        <v>1443</v>
      </c>
      <c r="B1605" s="1" t="s">
        <v>1574</v>
      </c>
      <c r="D1605" s="1" t="s">
        <v>2592</v>
      </c>
      <c r="E1605" s="1" t="s">
        <v>3027</v>
      </c>
    </row>
    <row r="1606" spans="1:5">
      <c r="A1606" s="1" t="s">
        <v>1443</v>
      </c>
      <c r="B1606" s="1" t="s">
        <v>1574</v>
      </c>
      <c r="C1606" s="1" t="s">
        <v>2069</v>
      </c>
      <c r="D1606" s="1" t="s">
        <v>2593</v>
      </c>
      <c r="E1606" s="1" t="s">
        <v>3028</v>
      </c>
    </row>
    <row r="1607" spans="1:5">
      <c r="A1607" s="1" t="s">
        <v>1443</v>
      </c>
      <c r="B1607" s="1" t="s">
        <v>1574</v>
      </c>
      <c r="D1607" s="1" t="s">
        <v>2594</v>
      </c>
    </row>
    <row r="1608" spans="1:5">
      <c r="A1608" s="1" t="s">
        <v>1443</v>
      </c>
      <c r="B1608" s="1" t="s">
        <v>1574</v>
      </c>
      <c r="C1608" s="1" t="s">
        <v>2070</v>
      </c>
      <c r="D1608" s="1" t="s">
        <v>2595</v>
      </c>
      <c r="E1608" s="1" t="s">
        <v>3029</v>
      </c>
    </row>
    <row r="1609" spans="1:5">
      <c r="A1609" s="1" t="s">
        <v>1443</v>
      </c>
      <c r="B1609" s="1" t="s">
        <v>1574</v>
      </c>
      <c r="D1609" s="1" t="s">
        <v>2596</v>
      </c>
      <c r="E1609" s="1" t="s">
        <v>3030</v>
      </c>
    </row>
    <row r="1610" spans="1:5">
      <c r="A1610" s="1" t="s">
        <v>1443</v>
      </c>
      <c r="B1610" s="1" t="s">
        <v>1574</v>
      </c>
      <c r="C1610" s="1" t="s">
        <v>2071</v>
      </c>
      <c r="D1610" s="1" t="s">
        <v>2597</v>
      </c>
      <c r="E1610" s="1" t="s">
        <v>3031</v>
      </c>
    </row>
    <row r="1611" spans="1:5">
      <c r="A1611" s="1" t="s">
        <v>1443</v>
      </c>
      <c r="B1611" s="1" t="s">
        <v>1574</v>
      </c>
      <c r="D1611" s="1" t="s">
        <v>2598</v>
      </c>
    </row>
    <row r="1612" spans="1:5">
      <c r="A1612" s="1" t="s">
        <v>1443</v>
      </c>
      <c r="B1612" s="1" t="s">
        <v>1574</v>
      </c>
      <c r="C1612" s="1" t="s">
        <v>2072</v>
      </c>
      <c r="D1612" s="1" t="s">
        <v>2599</v>
      </c>
    </row>
    <row r="1613" spans="1:5">
      <c r="A1613" s="1" t="s">
        <v>1443</v>
      </c>
      <c r="B1613" s="1" t="s">
        <v>1574</v>
      </c>
      <c r="D1613" s="1" t="s">
        <v>2600</v>
      </c>
      <c r="E1613" s="1" t="s">
        <v>3032</v>
      </c>
    </row>
    <row r="1614" spans="1:5">
      <c r="A1614" s="1" t="s">
        <v>1443</v>
      </c>
      <c r="B1614" s="1" t="s">
        <v>1574</v>
      </c>
      <c r="C1614" s="1" t="s">
        <v>2073</v>
      </c>
      <c r="D1614" s="1" t="s">
        <v>2601</v>
      </c>
      <c r="E1614" s="1" t="s">
        <v>3033</v>
      </c>
    </row>
    <row r="1615" spans="1:5">
      <c r="A1615" s="1" t="s">
        <v>1443</v>
      </c>
      <c r="B1615" s="1" t="s">
        <v>1574</v>
      </c>
      <c r="C1615" s="1" t="s">
        <v>2074</v>
      </c>
      <c r="D1615" s="1" t="s">
        <v>2602</v>
      </c>
      <c r="E1615" s="1" t="s">
        <v>3034</v>
      </c>
    </row>
    <row r="1616" spans="1:5">
      <c r="A1616" s="1" t="s">
        <v>1443</v>
      </c>
      <c r="B1616" s="1" t="s">
        <v>1574</v>
      </c>
      <c r="D1616" s="1" t="s">
        <v>2603</v>
      </c>
    </row>
    <row r="1617" spans="1:5">
      <c r="A1617" s="1" t="s">
        <v>1443</v>
      </c>
      <c r="B1617" s="1" t="s">
        <v>1574</v>
      </c>
      <c r="C1617" s="1" t="s">
        <v>2075</v>
      </c>
      <c r="D1617" s="1" t="s">
        <v>2604</v>
      </c>
      <c r="E1617" s="1" t="s">
        <v>3035</v>
      </c>
    </row>
    <row r="1618" spans="1:5">
      <c r="A1618" s="1" t="s">
        <v>1443</v>
      </c>
      <c r="B1618" s="1" t="s">
        <v>1574</v>
      </c>
      <c r="D1618" s="1" t="s">
        <v>2605</v>
      </c>
    </row>
    <row r="1619" spans="1:5">
      <c r="A1619" s="1" t="s">
        <v>1443</v>
      </c>
      <c r="B1619" s="1" t="s">
        <v>1574</v>
      </c>
      <c r="C1619" s="1" t="s">
        <v>2076</v>
      </c>
      <c r="D1619" s="1" t="s">
        <v>2606</v>
      </c>
      <c r="E1619" s="1" t="s">
        <v>3036</v>
      </c>
    </row>
    <row r="1620" spans="1:5">
      <c r="A1620" s="1" t="s">
        <v>1443</v>
      </c>
      <c r="B1620" s="1" t="s">
        <v>1574</v>
      </c>
      <c r="C1620" s="1" t="s">
        <v>2077</v>
      </c>
    </row>
    <row r="1621" spans="1:5">
      <c r="A1621" s="1" t="s">
        <v>1443</v>
      </c>
      <c r="B1621" s="1" t="s">
        <v>1574</v>
      </c>
      <c r="C1621" s="1" t="s">
        <v>2078</v>
      </c>
      <c r="D1621" s="1" t="s">
        <v>3049</v>
      </c>
      <c r="E1621" s="1" t="s">
        <v>3037</v>
      </c>
    </row>
    <row r="1622" spans="1:5">
      <c r="A1622" s="1" t="s">
        <v>1443</v>
      </c>
      <c r="B1622" s="1" t="s">
        <v>1574</v>
      </c>
      <c r="D1622" s="1" t="s">
        <v>3050</v>
      </c>
      <c r="E1622" s="1" t="s">
        <v>3038</v>
      </c>
    </row>
    <row r="1623" spans="1:5">
      <c r="A1623" s="1" t="s">
        <v>1443</v>
      </c>
      <c r="B1623" s="1" t="s">
        <v>1574</v>
      </c>
      <c r="C1623" s="1" t="s">
        <v>2079</v>
      </c>
      <c r="D1623" s="1" t="s">
        <v>3051</v>
      </c>
      <c r="E1623" s="1" t="s">
        <v>3039</v>
      </c>
    </row>
    <row r="1624" spans="1:5">
      <c r="A1624" s="1" t="s">
        <v>1443</v>
      </c>
      <c r="B1624" s="1" t="s">
        <v>1574</v>
      </c>
      <c r="C1624" s="1" t="s">
        <v>1858</v>
      </c>
      <c r="D1624" s="1" t="s">
        <v>3052</v>
      </c>
      <c r="E1624" s="1" t="s">
        <v>3040</v>
      </c>
    </row>
    <row r="1625" spans="1:5">
      <c r="A1625" s="1" t="s">
        <v>1443</v>
      </c>
      <c r="B1625" s="1" t="s">
        <v>1574</v>
      </c>
      <c r="C1625" s="1" t="s">
        <v>2080</v>
      </c>
      <c r="D1625" s="1" t="s">
        <v>3053</v>
      </c>
      <c r="E1625" s="1" t="s">
        <v>3041</v>
      </c>
    </row>
    <row r="1626" spans="1:5">
      <c r="A1626" s="1" t="s">
        <v>1443</v>
      </c>
      <c r="B1626" s="1" t="s">
        <v>1574</v>
      </c>
      <c r="C1626" s="1" t="s">
        <v>2081</v>
      </c>
      <c r="D1626" s="1" t="s">
        <v>3054</v>
      </c>
      <c r="E1626" s="1" t="s">
        <v>3042</v>
      </c>
    </row>
    <row r="1627" spans="1:5">
      <c r="A1627" s="1" t="s">
        <v>1443</v>
      </c>
      <c r="B1627" s="1" t="s">
        <v>1574</v>
      </c>
      <c r="C1627" s="1" t="s">
        <v>2082</v>
      </c>
      <c r="D1627" s="1" t="s">
        <v>3055</v>
      </c>
      <c r="E1627" s="1" t="s">
        <v>3043</v>
      </c>
    </row>
    <row r="1628" spans="1:5">
      <c r="A1628" s="1" t="s">
        <v>1443</v>
      </c>
      <c r="B1628" s="1" t="s">
        <v>1574</v>
      </c>
      <c r="C1628" s="1" t="s">
        <v>2083</v>
      </c>
      <c r="D1628" s="1" t="s">
        <v>3056</v>
      </c>
      <c r="E1628" s="1" t="s">
        <v>3044</v>
      </c>
    </row>
    <row r="1629" spans="1:5">
      <c r="A1629" s="1" t="s">
        <v>1443</v>
      </c>
      <c r="B1629" s="1" t="s">
        <v>1574</v>
      </c>
      <c r="C1629" s="1" t="s">
        <v>2084</v>
      </c>
      <c r="D1629" s="1" t="s">
        <v>3057</v>
      </c>
      <c r="E1629" s="1" t="s">
        <v>3045</v>
      </c>
    </row>
    <row r="1630" spans="1:5">
      <c r="A1630" s="1" t="s">
        <v>1443</v>
      </c>
      <c r="B1630" s="1" t="s">
        <v>1574</v>
      </c>
      <c r="C1630" s="1" t="s">
        <v>1955</v>
      </c>
      <c r="D1630" s="1" t="s">
        <v>3058</v>
      </c>
      <c r="E1630" s="1" t="s">
        <v>3046</v>
      </c>
    </row>
    <row r="1631" spans="1:5">
      <c r="A1631" s="1" t="s">
        <v>1443</v>
      </c>
      <c r="B1631" s="1" t="s">
        <v>1574</v>
      </c>
      <c r="C1631" s="1" t="s">
        <v>2085</v>
      </c>
      <c r="D1631" s="1" t="s">
        <v>3059</v>
      </c>
      <c r="E1631" s="1" t="s">
        <v>3047</v>
      </c>
    </row>
    <row r="1632" spans="1:5">
      <c r="A1632" s="1" t="s">
        <v>1443</v>
      </c>
      <c r="B1632" s="1" t="s">
        <v>1574</v>
      </c>
      <c r="C1632" s="1" t="s">
        <v>2086</v>
      </c>
      <c r="D1632" s="1" t="s">
        <v>3060</v>
      </c>
      <c r="E1632" s="1" t="s">
        <v>3048</v>
      </c>
    </row>
  </sheetData>
  <conditionalFormatting sqref="C1385">
    <cfRule type="duplicateValues" dxfId="1" priority="1"/>
  </conditionalFormatting>
  <conditionalFormatting sqref="C1157:C1567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2015-11-05T20:58:16Z</dcterms:modified>
</cp:coreProperties>
</file>